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й лист" sheetId="1" r:id="rId1"/>
    <sheet name="І Фін результат 2023" sheetId="2" r:id="rId2"/>
    <sheet name="ІІ Розр з бюджетом 2023" sheetId="3" r:id="rId3"/>
    <sheet name="ІІІ Рух грошових коштів 2023" sheetId="4" r:id="rId4"/>
    <sheet name="ІV Кап інвестиції 2023" sheetId="5" r:id="rId5"/>
    <sheet name="V ОП 2023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<sst xmlns="http://schemas.openxmlformats.org/spreadsheetml/2006/main" count="386" uniqueCount="248">
  <si>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</si>
  <si>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</si>
  <si>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</si>
  <si>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</si>
  <si>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</si>
  <si>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</si>
  <si>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</si>
  <si>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</si>
  <si>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</si>
  <si>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</si>
  <si>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</si>
  <si>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</si>
  <si>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</si>
  <si>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</si>
  <si>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</si>
  <si>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</si>
  <si>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</si>
  <si>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</si>
  <si>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</si>
  <si>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</si>
  <si>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</si>
  <si>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</si>
  <si>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</si>
  <si>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</si>
  <si>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</si>
  <si>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</si>
  <si>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</si>
  <si>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</si>
  <si>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</si>
  <si>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</si>
  <si>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</si>
  <si>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</si>
  <si>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</si>
  <si>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</si>
  <si>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</si>
  <si>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</si>
  <si>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</si>
  <si>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</si>
  <si>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</si>
  <si>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</si>
  <si>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</si>
  <si>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</si>
  <si>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</si>
  <si>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</si>
  <si>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</si>
  <si>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</si>
  <si>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</si>
  <si>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</si>
  <si>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</si>
  <si>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</si>
  <si>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</si>
  <si>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</si>
  <si>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</si>
  <si>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</si>
  <si>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</si>
  <si>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</si>
  <si>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</si>
  <si>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</si>
  <si>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</si>
  <si>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</si>
  <si>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</si>
  <si>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</si>
  <si>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</si>
  <si>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</si>
  <si>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</si>
  <si>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</si>
  <si>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</si>
  <si>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</si>
  <si>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</si>
  <si>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</si>
  <si>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</si>
  <si>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</si>
  <si>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</si>
  <si>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</si>
  <si>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</si>
  <si>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</si>
  <si>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</si>
  <si>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</si>
  <si>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</si>
  <si>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</si>
  <si>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</si>
  <si>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</si>
  <si>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</si>
  <si>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</si>
  <si>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</si>
  <si>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</si>
  <si>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</si>
  <si>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</si>
  <si>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</si>
  <si>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</si>
  <si>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</si>
  <si>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</si>
  <si>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</si>
  <si>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</si>
  <si>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</si>
  <si>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</si>
  <si>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</si>
  <si>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</si>
  <si>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</si>
  <si>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</si>
  <si>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</si>
  <si>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</si>
  <si>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</si>
  <si>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</si>
  <si>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</si>
  <si>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</si>
  <si>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</si>
  <si>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</si>
  <si>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</si>
  <si>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</si>
  <si>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</si>
  <si>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</si>
  <si>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</si>
  <si>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</si>
  <si>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</si>
  <si>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</si>
  <si>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</si>
  <si>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</si>
  <si>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</si>
  <si>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</si>
  <si>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</si>
  <si>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</si>
  <si>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</si>
  <si>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</si>
  <si>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</si>
  <si>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</si>
  <si>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</si>
  <si>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</si>
  <si>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</si>
  <si>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</si>
  <si>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</si>
  <si>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</si>
  <si>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</si>
  <si>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</si>
  <si>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</si>
  <si>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</si>
  <si>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</si>
  <si>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</si>
  <si>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</si>
  <si>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</si>
  <si>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</si>
  <si>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</si>
  <si>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</si>
  <si>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</si>
  <si>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</si>
  <si>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</si>
  <si>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</si>
  <si>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</si>
  <si>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</si>
  <si>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</si>
  <si>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</si>
  <si>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</si>
  <si>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</si>
  <si>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</si>
  <si>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</si>
  <si>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</si>
  <si>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</si>
  <si>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</si>
  <si>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</si>
  <si>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</si>
  <si>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</si>
  <si>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</si>
  <si>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</si>
  <si>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</si>
  <si>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</si>
  <si>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</si>
  <si>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</si>
  <si>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</si>
  <si>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</si>
  <si>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</si>
  <si>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</si>
  <si>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</si>
  <si>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</si>
  <si>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</si>
  <si>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</si>
  <si>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</si>
  <si>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</si>
  <si>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</si>
  <si>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</si>
  <si>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</si>
  <si>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</si>
  <si>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</si>
  <si>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</si>
  <si>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</si>
  <si>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</si>
  <si>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</si>
  <si>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</si>
  <si>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</si>
  <si>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</si>
  <si>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</si>
  <si>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</si>
  <si>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</si>
  <si>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</si>
  <si>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</si>
  <si>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</si>
  <si>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</si>
  <si>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</si>
  <si>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</si>
  <si>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</si>
  <si>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</si>
  <si>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</si>
  <si>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</si>
  <si>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</si>
  <si>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</si>
  <si>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</si>
  <si>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</si>
  <si>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консультаційні та інформаційні послуги (сервісна послуга "Держзакупівлі, радник, бюджетна бухгалтерія, програма "АВК")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</si>
  <si>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</si>
  <si>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</si>
  <si>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Таблиця 6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</si>
  <si>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</si>
  <si>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</si>
  <si>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</si>
  <si>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</si>
  <si>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</si>
  <si>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модернізація, модифікація (добудова, дообладнання, реконструкція) основних засобів (виготовлення проектно-кошторисної документації)</t>
  </si>
  <si>
    <t>Факт минулого 2021  року</t>
  </si>
  <si>
    <t>Фінансовий план поточного 2022  року</t>
  </si>
  <si>
    <t>Відшкодування комунальних послуг та платні послуги</t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</si>
  <si>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</si>
  <si>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</si>
  <si>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</si>
  <si>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</si>
  <si>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r>
      <t>придбання</t>
    </r>
    <r>
      <rPr>
        <sz val="7"/>
        <color indexed="10"/>
        <rFont val="Times New Roman"/>
        <family val="1"/>
      </rPr>
      <t xml:space="preserve"> на </t>
    </r>
    <r>
      <rPr>
        <sz val="7"/>
        <rFont val="Times New Roman"/>
        <family val="1"/>
      </rPr>
      <t>оновлення необоротних активів (розшифрувати)</t>
    </r>
  </si>
  <si>
    <t xml:space="preserve">за ЄДРПОУ </t>
  </si>
  <si>
    <t>VІ. Розподіл коштів, отриманих з  бюджету МТГ на поповнення статутного капіталу
статутного капіталу</t>
  </si>
  <si>
    <t>Видача електронного ключа, токени</t>
  </si>
  <si>
    <t>Обслуговування та ремонт комп.техніки</t>
  </si>
  <si>
    <t>Плата за аббонеменське обслуг.комун.платежів</t>
  </si>
  <si>
    <t>придбання (виготовлення) основних засобів: трактора, автогрейдера</t>
  </si>
  <si>
    <t>Фінансовий план на 2023  рік</t>
  </si>
  <si>
    <r>
      <t>Інші надходження (кошти від реалізації квитків, відшкод.пільгового перевезення, плата за корист.обєктами благоустрою, доп.по тимч.втр.прац.з))</t>
    </r>
    <r>
      <rPr>
        <i/>
        <sz val="7"/>
        <rFont val="Times New Roman"/>
        <family val="1"/>
      </rPr>
      <t xml:space="preserve"> </t>
    </r>
  </si>
  <si>
    <t>Розрахунки з оплати праці  (заробітна плата -23657 тис.грн., ПДФО-5289 тис.грн, військовий збір - 440тис.грн, ЄСВ-6465тис.грн. )</t>
  </si>
  <si>
    <t>ЄСВ</t>
  </si>
  <si>
    <t>Військовий збір</t>
  </si>
  <si>
    <t>ФІНАНСОВИЙ ПЛАН ПІДПРИЄМСТВА НА 2023 рік</t>
  </si>
  <si>
    <t>інші податки та збори (війсбковий збір)</t>
  </si>
  <si>
    <t>Придбання матеріальних цінностей, основних засобів, штрафи, вкиконання судових рішень)</t>
  </si>
  <si>
    <t>Фінансовий план  на 2023  рік</t>
  </si>
  <si>
    <t>Фінансовий план на 2022 рік</t>
  </si>
  <si>
    <t xml:space="preserve"> ФІНАНСОВИЙ ПЛАН</t>
  </si>
  <si>
    <t>юридичні послуги, штрави, відшкодування матеріальної шкоди</t>
  </si>
  <si>
    <t>Директор КП НМР "Благоустрій"</t>
  </si>
  <si>
    <t>Директора КП НМР "Благоустрій"</t>
  </si>
  <si>
    <t xml:space="preserve">Рішення тридцятої сесії </t>
  </si>
  <si>
    <t xml:space="preserve">Нетішинської міської ради </t>
  </si>
  <si>
    <t>VІІІ скликання</t>
  </si>
  <si>
    <t>04.11.2022 № 30/1542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</si>
</sst>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_(* #,##0.0_);_(* \(#,##0.0\);_(* &quot;-&quot;_);_(@_)"/>
    <numFmt numFmtId="201" formatCode="_-* #,##0.0\ _₽_-;\-* #,##0.0\ _₽_-;_-* &quot;-&quot;?\ _₽_-;_-@_-"/>
    <numFmt numFmtId="202" formatCode="_(* #,##0.00_);_(* \(#,##0.00\);_(* &quot;-&quot;_);_(@_)"/>
    <numFmt numFmtId="203" formatCode="[$-FC19]d\ mmmm\ yyyy\ &quot;г.&quot;"/>
    <numFmt numFmtId="204" formatCode="_-* #,##0\ _₽_-;\-* #,##0\ _₽_-;_-* &quot;-&quot;?\ _₽_-;_-@_-"/>
    <numFmt numFmtId="205" formatCode="_-* #,##0.0\ _р_._-;\-* #,##0.0\ _р_._-;_-* &quot;-&quot;?\ _р_._-;_-@_-"/>
    <numFmt numFmtId="206" formatCode="_-* #,##0.00\ _₽_-;\-* #,##0.00\ _₽_-;_-* &quot;-&quot;?\ _₽_-;_-@_-"/>
    <numFmt numFmtId="207" formatCode="_(* #,##0.000_);_(* \(#,##0.000\);_(* &quot;-&quot;??_);_(@_)"/>
    <numFmt numFmtId="208" formatCode="0.0000000"/>
    <numFmt numFmtId="209" formatCode="0.00000000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10"/>
      <name val="Times New Roman"/>
      <family val="1"/>
    </font>
    <font>
      <sz val="12"/>
      <color indexed="9"/>
      <name val="Arial"/>
      <family val="2"/>
    </font>
    <font>
      <sz val="8"/>
      <color indexed="9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93" fontId="10" fillId="24" borderId="0" xfId="0" applyNumberFormat="1" applyFont="1" applyFill="1" applyAlignment="1">
      <alignment/>
    </xf>
    <xf numFmtId="193" fontId="3" fillId="24" borderId="0" xfId="0" applyNumberFormat="1" applyFont="1" applyFill="1" applyAlignment="1">
      <alignment/>
    </xf>
    <xf numFmtId="201" fontId="10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193" fontId="25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201" fontId="26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10" fillId="24" borderId="0" xfId="53" applyFont="1" applyFill="1" applyBorder="1" applyAlignment="1">
      <alignment horizontal="center" vertical="center"/>
      <protection/>
    </xf>
    <xf numFmtId="193" fontId="1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51" fillId="24" borderId="0" xfId="0" applyFont="1" applyFill="1" applyAlignment="1">
      <alignment/>
    </xf>
    <xf numFmtId="198" fontId="51" fillId="24" borderId="0" xfId="0" applyNumberFormat="1" applyFont="1" applyFill="1" applyAlignment="1">
      <alignment/>
    </xf>
    <xf numFmtId="201" fontId="51" fillId="24" borderId="0" xfId="0" applyNumberFormat="1" applyFont="1" applyFill="1" applyAlignment="1">
      <alignment/>
    </xf>
    <xf numFmtId="198" fontId="0" fillId="24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96" fontId="10" fillId="24" borderId="0" xfId="0" applyNumberFormat="1" applyFont="1" applyFill="1" applyBorder="1" applyAlignment="1" quotePrefix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 quotePrefix="1">
      <alignment horizontal="center" vertical="center"/>
    </xf>
    <xf numFmtId="193" fontId="25" fillId="24" borderId="20" xfId="0" applyNumberFormat="1" applyFont="1" applyFill="1" applyBorder="1" applyAlignment="1">
      <alignment horizontal="center" vertical="center" wrapText="1"/>
    </xf>
    <xf numFmtId="0" fontId="31" fillId="24" borderId="20" xfId="0" applyFont="1" applyFill="1" applyBorder="1" applyAlignment="1" quotePrefix="1">
      <alignment horizontal="center" vertical="center"/>
    </xf>
    <xf numFmtId="193" fontId="31" fillId="24" borderId="20" xfId="0" applyNumberFormat="1" applyFont="1" applyFill="1" applyBorder="1" applyAlignment="1">
      <alignment horizontal="center" vertical="center" wrapText="1"/>
    </xf>
    <xf numFmtId="193" fontId="25" fillId="24" borderId="20" xfId="0" applyNumberFormat="1" applyFont="1" applyFill="1" applyBorder="1" applyAlignment="1">
      <alignment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/>
    </xf>
    <xf numFmtId="0" fontId="25" fillId="24" borderId="20" xfId="0" applyFont="1" applyFill="1" applyBorder="1" applyAlignment="1">
      <alignment wrapText="1"/>
    </xf>
    <xf numFmtId="0" fontId="25" fillId="24" borderId="22" xfId="0" applyFont="1" applyFill="1" applyBorder="1" applyAlignment="1">
      <alignment horizontal="left" wrapText="1"/>
    </xf>
    <xf numFmtId="200" fontId="25" fillId="24" borderId="20" xfId="0" applyNumberFormat="1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left"/>
    </xf>
    <xf numFmtId="193" fontId="33" fillId="24" borderId="20" xfId="0" applyNumberFormat="1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left" vertical="center" wrapText="1" shrinkToFi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/>
    </xf>
    <xf numFmtId="0" fontId="25" fillId="24" borderId="20" xfId="0" applyFont="1" applyFill="1" applyBorder="1" applyAlignment="1" quotePrefix="1">
      <alignment horizontal="center"/>
    </xf>
    <xf numFmtId="193" fontId="25" fillId="24" borderId="20" xfId="0" applyNumberFormat="1" applyFont="1" applyFill="1" applyBorder="1" applyAlignment="1">
      <alignment horizontal="center"/>
    </xf>
    <xf numFmtId="0" fontId="31" fillId="24" borderId="20" xfId="0" applyFont="1" applyFill="1" applyBorder="1" applyAlignment="1" quotePrefix="1">
      <alignment horizontal="center"/>
    </xf>
    <xf numFmtId="193" fontId="25" fillId="24" borderId="20" xfId="0" applyNumberFormat="1" applyFont="1" applyFill="1" applyBorder="1" applyAlignment="1">
      <alignment/>
    </xf>
    <xf numFmtId="193" fontId="33" fillId="24" borderId="20" xfId="0" applyNumberFormat="1" applyFont="1" applyFill="1" applyBorder="1" applyAlignment="1">
      <alignment/>
    </xf>
    <xf numFmtId="0" fontId="25" fillId="24" borderId="2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left" vertical="center" wrapText="1"/>
      <protection/>
    </xf>
    <xf numFmtId="193" fontId="33" fillId="24" borderId="20" xfId="0" applyNumberFormat="1" applyFont="1" applyFill="1" applyBorder="1" applyAlignment="1">
      <alignment vertical="center" wrapText="1"/>
    </xf>
    <xf numFmtId="0" fontId="31" fillId="24" borderId="20" xfId="0" applyFont="1" applyFill="1" applyBorder="1" applyAlignment="1">
      <alignment horizontal="center" vertical="center"/>
    </xf>
    <xf numFmtId="193" fontId="31" fillId="24" borderId="20" xfId="0" applyNumberFormat="1" applyFont="1" applyFill="1" applyBorder="1" applyAlignment="1">
      <alignment vertical="center" wrapText="1"/>
    </xf>
    <xf numFmtId="0" fontId="31" fillId="24" borderId="20" xfId="53" applyFont="1" applyFill="1" applyBorder="1" applyAlignment="1">
      <alignment horizontal="center" vertical="center"/>
      <protection/>
    </xf>
    <xf numFmtId="0" fontId="31" fillId="24" borderId="23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 quotePrefix="1">
      <alignment horizontal="center" vertical="center"/>
    </xf>
    <xf numFmtId="200" fontId="31" fillId="24" borderId="20" xfId="0" applyNumberFormat="1" applyFont="1" applyFill="1" applyBorder="1" applyAlignment="1">
      <alignment horizontal="center" vertical="center" wrapText="1"/>
    </xf>
    <xf numFmtId="0" fontId="31" fillId="24" borderId="24" xfId="53" applyFont="1" applyFill="1" applyBorder="1" applyAlignment="1">
      <alignment horizontal="left" vertical="center" wrapText="1"/>
      <protection/>
    </xf>
    <xf numFmtId="0" fontId="31" fillId="24" borderId="24" xfId="0" applyFont="1" applyFill="1" applyBorder="1" applyAlignment="1" quotePrefix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 applyProtection="1">
      <alignment horizontal="left" vertical="center" wrapText="1"/>
      <protection locked="0"/>
    </xf>
    <xf numFmtId="0" fontId="25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/>
    </xf>
    <xf numFmtId="0" fontId="31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25" fillId="24" borderId="20" xfId="0" applyFont="1" applyFill="1" applyBorder="1" applyAlignment="1">
      <alignment horizontal="center" vertical="center" wrapText="1" shrinkToFit="1"/>
    </xf>
    <xf numFmtId="193" fontId="24" fillId="24" borderId="0" xfId="0" applyNumberFormat="1" applyFont="1" applyFill="1" applyAlignment="1">
      <alignment/>
    </xf>
    <xf numFmtId="196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5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7" fillId="24" borderId="0" xfId="0" applyNumberFormat="1" applyFont="1" applyFill="1" applyAlignment="1">
      <alignment/>
    </xf>
    <xf numFmtId="1" fontId="7" fillId="24" borderId="0" xfId="0" applyNumberFormat="1" applyFont="1" applyFill="1" applyAlignment="1">
      <alignment/>
    </xf>
    <xf numFmtId="193" fontId="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5" fillId="24" borderId="0" xfId="0" applyFont="1" applyFill="1" applyAlignment="1">
      <alignment/>
    </xf>
    <xf numFmtId="193" fontId="5" fillId="24" borderId="0" xfId="0" applyNumberFormat="1" applyFont="1" applyFill="1" applyAlignment="1">
      <alignment/>
    </xf>
    <xf numFmtId="0" fontId="10" fillId="24" borderId="0" xfId="53" applyFont="1" applyFill="1" applyBorder="1" applyAlignment="1">
      <alignment horizontal="left" vertical="center" wrapText="1"/>
      <protection/>
    </xf>
    <xf numFmtId="0" fontId="9" fillId="24" borderId="0" xfId="0" applyNumberFormat="1" applyFont="1" applyFill="1" applyAlignment="1">
      <alignment/>
    </xf>
    <xf numFmtId="193" fontId="9" fillId="24" borderId="0" xfId="0" applyNumberFormat="1" applyFont="1" applyFill="1" applyAlignment="1">
      <alignment/>
    </xf>
    <xf numFmtId="193" fontId="25" fillId="24" borderId="2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 quotePrefix="1">
      <alignment horizontal="center" vertical="center"/>
    </xf>
    <xf numFmtId="196" fontId="4" fillId="24" borderId="0" xfId="0" applyNumberFormat="1" applyFont="1" applyFill="1" applyBorder="1" applyAlignment="1">
      <alignment horizontal="center" vertical="center" wrapText="1"/>
    </xf>
    <xf numFmtId="196" fontId="8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5" fillId="24" borderId="20" xfId="0" applyNumberFormat="1" applyFont="1" applyFill="1" applyBorder="1" applyAlignment="1" quotePrefix="1">
      <alignment horizontal="center" vertical="center" wrapText="1"/>
    </xf>
    <xf numFmtId="204" fontId="31" fillId="24" borderId="20" xfId="0" applyNumberFormat="1" applyFont="1" applyFill="1" applyBorder="1" applyAlignment="1">
      <alignment vertical="center" wrapText="1"/>
    </xf>
    <xf numFmtId="0" fontId="25" fillId="24" borderId="20" xfId="0" applyNumberFormat="1" applyFont="1" applyFill="1" applyBorder="1" applyAlignment="1">
      <alignment horizontal="center" vertical="center" wrapText="1"/>
    </xf>
    <xf numFmtId="204" fontId="25" fillId="24" borderId="20" xfId="0" applyNumberFormat="1" applyFont="1" applyFill="1" applyBorder="1" applyAlignment="1">
      <alignment vertical="center" wrapText="1"/>
    </xf>
    <xf numFmtId="0" fontId="25" fillId="24" borderId="20" xfId="0" applyNumberFormat="1" applyFont="1" applyFill="1" applyBorder="1" applyAlignment="1">
      <alignment horizontal="center" vertical="center"/>
    </xf>
    <xf numFmtId="196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left" vertical="center" wrapText="1"/>
    </xf>
    <xf numFmtId="198" fontId="11" fillId="24" borderId="20" xfId="0" applyNumberFormat="1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left" vertical="center" wrapText="1"/>
    </xf>
    <xf numFmtId="198" fontId="10" fillId="24" borderId="20" xfId="0" applyNumberFormat="1" applyFont="1" applyFill="1" applyBorder="1" applyAlignment="1">
      <alignment vertical="center" wrapText="1"/>
    </xf>
    <xf numFmtId="198" fontId="0" fillId="24" borderId="0" xfId="0" applyNumberFormat="1" applyFill="1" applyAlignment="1">
      <alignment/>
    </xf>
    <xf numFmtId="198" fontId="10" fillId="24" borderId="25" xfId="0" applyNumberFormat="1" applyFont="1" applyFill="1" applyBorder="1" applyAlignment="1">
      <alignment vertical="center" wrapText="1"/>
    </xf>
    <xf numFmtId="201" fontId="0" fillId="24" borderId="0" xfId="0" applyNumberFormat="1" applyFill="1" applyAlignment="1">
      <alignment/>
    </xf>
    <xf numFmtId="199" fontId="11" fillId="24" borderId="20" xfId="0" applyNumberFormat="1" applyFont="1" applyFill="1" applyBorder="1" applyAlignment="1">
      <alignment vertical="center" wrapText="1"/>
    </xf>
    <xf numFmtId="199" fontId="10" fillId="24" borderId="20" xfId="0" applyNumberFormat="1" applyFont="1" applyFill="1" applyBorder="1" applyAlignment="1">
      <alignment vertical="center" wrapText="1"/>
    </xf>
    <xf numFmtId="199" fontId="10" fillId="24" borderId="25" xfId="0" applyNumberFormat="1" applyFont="1" applyFill="1" applyBorder="1" applyAlignment="1">
      <alignment vertical="center" wrapText="1"/>
    </xf>
    <xf numFmtId="199" fontId="0" fillId="24" borderId="0" xfId="0" applyNumberFormat="1" applyFont="1" applyFill="1" applyAlignment="1">
      <alignment/>
    </xf>
    <xf numFmtId="0" fontId="29" fillId="24" borderId="26" xfId="0" applyFont="1" applyFill="1" applyBorder="1" applyAlignment="1">
      <alignment/>
    </xf>
    <xf numFmtId="201" fontId="27" fillId="24" borderId="0" xfId="0" applyNumberFormat="1" applyFont="1" applyFill="1" applyAlignment="1">
      <alignment/>
    </xf>
    <xf numFmtId="0" fontId="53" fillId="24" borderId="0" xfId="0" applyFont="1" applyFill="1" applyAlignment="1">
      <alignment/>
    </xf>
    <xf numFmtId="0" fontId="54" fillId="24" borderId="0" xfId="0" applyFont="1" applyFill="1" applyAlignment="1">
      <alignment/>
    </xf>
    <xf numFmtId="0" fontId="54" fillId="24" borderId="0" xfId="0" applyNumberFormat="1" applyFont="1" applyFill="1" applyAlignment="1">
      <alignment/>
    </xf>
    <xf numFmtId="201" fontId="54" fillId="24" borderId="0" xfId="0" applyNumberFormat="1" applyFont="1" applyFill="1" applyAlignment="1">
      <alignment/>
    </xf>
    <xf numFmtId="1" fontId="54" fillId="24" borderId="0" xfId="0" applyNumberFormat="1" applyFont="1" applyFill="1" applyAlignment="1">
      <alignment/>
    </xf>
    <xf numFmtId="193" fontId="54" fillId="24" borderId="0" xfId="0" applyNumberFormat="1" applyFont="1" applyFill="1" applyAlignment="1">
      <alignment/>
    </xf>
    <xf numFmtId="193" fontId="53" fillId="24" borderId="0" xfId="0" applyNumberFormat="1" applyFont="1" applyFill="1" applyAlignment="1">
      <alignment/>
    </xf>
    <xf numFmtId="0" fontId="51" fillId="24" borderId="0" xfId="0" applyNumberFormat="1" applyFont="1" applyFill="1" applyAlignment="1">
      <alignment/>
    </xf>
    <xf numFmtId="206" fontId="51" fillId="24" borderId="0" xfId="0" applyNumberFormat="1" applyFont="1" applyFill="1" applyAlignment="1">
      <alignment/>
    </xf>
    <xf numFmtId="0" fontId="10" fillId="24" borderId="0" xfId="0" applyFont="1" applyFill="1" applyBorder="1" applyAlignment="1">
      <alignment horizontal="left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 wrapText="1"/>
    </xf>
    <xf numFmtId="196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Alignment="1">
      <alignment horizontal="center"/>
    </xf>
    <xf numFmtId="0" fontId="30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>
      <alignment/>
    </xf>
    <xf numFmtId="0" fontId="31" fillId="24" borderId="25" xfId="53" applyFont="1" applyFill="1" applyBorder="1" applyAlignment="1">
      <alignment horizontal="center" vertical="center" wrapText="1"/>
      <protection/>
    </xf>
    <xf numFmtId="0" fontId="31" fillId="24" borderId="28" xfId="53" applyFont="1" applyFill="1" applyBorder="1" applyAlignment="1">
      <alignment horizontal="center" vertical="center" wrapText="1"/>
      <protection/>
    </xf>
    <xf numFmtId="0" fontId="31" fillId="24" borderId="27" xfId="53" applyFont="1" applyFill="1" applyBorder="1" applyAlignment="1">
      <alignment horizontal="center" vertical="center" wrapText="1"/>
      <protection/>
    </xf>
    <xf numFmtId="0" fontId="10" fillId="24" borderId="29" xfId="0" applyFont="1" applyFill="1" applyBorder="1" applyAlignment="1">
      <alignment vertical="center"/>
    </xf>
    <xf numFmtId="0" fontId="25" fillId="24" borderId="24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5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196" fontId="10" fillId="24" borderId="0" xfId="0" applyNumberFormat="1" applyFont="1" applyFill="1" applyBorder="1" applyAlignment="1">
      <alignment horizontal="left" vertical="center" wrapText="1"/>
    </xf>
    <xf numFmtId="196" fontId="10" fillId="24" borderId="0" xfId="0" applyNumberFormat="1" applyFont="1" applyFill="1" applyBorder="1" applyAlignment="1" quotePrefix="1">
      <alignment horizontal="left" vertical="center" wrapText="1"/>
    </xf>
    <xf numFmtId="0" fontId="31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10" fillId="24" borderId="0" xfId="0" applyFont="1" applyFill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center" vertical="center" wrapText="1"/>
      <protection/>
    </xf>
    <xf numFmtId="0" fontId="10" fillId="24" borderId="26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196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28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0.7109375" style="0" customWidth="1"/>
  </cols>
  <sheetData>
    <row r="1" spans="2:8" ht="18.75">
      <c r="B1" s="4"/>
      <c r="E1" s="3" t="s">
        <v>128</v>
      </c>
      <c r="F1" s="169"/>
      <c r="G1" s="169"/>
      <c r="H1" s="169"/>
    </row>
    <row r="2" spans="2:8" ht="18.75">
      <c r="B2" s="4"/>
      <c r="E2" s="169" t="s">
        <v>244</v>
      </c>
      <c r="F2" s="169"/>
      <c r="G2" s="169"/>
      <c r="H2" s="169"/>
    </row>
    <row r="3" spans="2:8" ht="18.75">
      <c r="B3" s="4"/>
      <c r="E3" s="169" t="s">
        <v>245</v>
      </c>
      <c r="F3" s="169"/>
      <c r="G3" s="169"/>
      <c r="H3" s="169"/>
    </row>
    <row r="4" spans="2:8" ht="18.75">
      <c r="B4" s="4"/>
      <c r="E4" s="169" t="s">
        <v>246</v>
      </c>
      <c r="F4" s="169"/>
      <c r="G4" s="169"/>
      <c r="H4" s="169"/>
    </row>
    <row r="5" spans="2:8" ht="18.75">
      <c r="B5" s="4"/>
      <c r="E5" s="184" t="s">
        <v>247</v>
      </c>
      <c r="F5" s="184"/>
      <c r="G5" s="184"/>
      <c r="H5" s="169"/>
    </row>
    <row r="6" ht="12.75">
      <c r="B6" s="4"/>
    </row>
    <row r="7" ht="12.75">
      <c r="B7" s="4"/>
    </row>
    <row r="8" spans="2:8" ht="20.25" customHeight="1" thickBot="1">
      <c r="B8" s="185" t="s">
        <v>240</v>
      </c>
      <c r="C8" s="185"/>
      <c r="D8" s="185"/>
      <c r="E8" s="185"/>
      <c r="F8" s="185"/>
      <c r="G8" s="185"/>
      <c r="H8" s="185"/>
    </row>
    <row r="9" spans="2:8" ht="15.75">
      <c r="B9" s="6"/>
      <c r="C9" s="6"/>
      <c r="D9" s="5"/>
      <c r="E9" s="5"/>
      <c r="F9" s="5"/>
      <c r="G9" s="20" t="s">
        <v>129</v>
      </c>
      <c r="H9" s="21"/>
    </row>
    <row r="10" spans="2:8" ht="16.5" thickBot="1">
      <c r="B10" s="18"/>
      <c r="C10" s="2"/>
      <c r="D10" s="2"/>
      <c r="E10" s="2"/>
      <c r="F10" s="6"/>
      <c r="G10" s="24" t="s">
        <v>173</v>
      </c>
      <c r="H10" s="25">
        <v>2023</v>
      </c>
    </row>
    <row r="11" spans="2:8" ht="45" customHeight="1" thickBot="1">
      <c r="B11" s="22" t="s">
        <v>130</v>
      </c>
      <c r="C11" s="181" t="s">
        <v>174</v>
      </c>
      <c r="D11" s="181"/>
      <c r="E11" s="181"/>
      <c r="F11" s="23" t="s">
        <v>224</v>
      </c>
      <c r="G11" s="182">
        <v>39613992</v>
      </c>
      <c r="H11" s="183"/>
    </row>
    <row r="12" spans="2:8" ht="32.25" thickBot="1">
      <c r="B12" s="9" t="s">
        <v>131</v>
      </c>
      <c r="C12" s="187" t="s">
        <v>175</v>
      </c>
      <c r="D12" s="187"/>
      <c r="E12" s="187"/>
      <c r="F12" s="7" t="s">
        <v>132</v>
      </c>
      <c r="G12" s="182">
        <v>150</v>
      </c>
      <c r="H12" s="183"/>
    </row>
    <row r="13" spans="2:8" ht="33" customHeight="1" thickBot="1">
      <c r="B13" s="9" t="s">
        <v>133</v>
      </c>
      <c r="C13" s="181"/>
      <c r="D13" s="181"/>
      <c r="E13" s="181"/>
      <c r="F13" s="7" t="s">
        <v>134</v>
      </c>
      <c r="G13" s="28"/>
      <c r="H13" s="29"/>
    </row>
    <row r="14" spans="2:8" ht="29.25" customHeight="1" thickBot="1">
      <c r="B14" s="9" t="s">
        <v>135</v>
      </c>
      <c r="C14" s="181" t="s">
        <v>176</v>
      </c>
      <c r="D14" s="181"/>
      <c r="E14" s="181"/>
      <c r="F14" s="7" t="s">
        <v>136</v>
      </c>
      <c r="G14" s="182" t="s">
        <v>177</v>
      </c>
      <c r="H14" s="183"/>
    </row>
    <row r="15" spans="2:8" ht="32.25" customHeight="1" thickBot="1">
      <c r="B15" s="9" t="s">
        <v>137</v>
      </c>
      <c r="C15" s="27" t="s">
        <v>178</v>
      </c>
      <c r="D15" s="10"/>
      <c r="E15" s="10"/>
      <c r="F15" s="11"/>
      <c r="G15" s="11"/>
      <c r="H15" s="8"/>
    </row>
    <row r="16" spans="2:8" ht="21.75" customHeight="1" thickBot="1">
      <c r="B16" s="9" t="s">
        <v>138</v>
      </c>
      <c r="C16" s="186" t="s">
        <v>179</v>
      </c>
      <c r="D16" s="186"/>
      <c r="E16" s="10"/>
      <c r="F16" s="11"/>
      <c r="G16" s="11"/>
      <c r="H16" s="8"/>
    </row>
    <row r="17" spans="2:8" ht="21.75" customHeight="1" thickBot="1">
      <c r="B17" s="9" t="s">
        <v>139</v>
      </c>
      <c r="C17" s="52">
        <v>183</v>
      </c>
      <c r="D17" s="12"/>
      <c r="E17" s="12"/>
      <c r="F17" s="10"/>
      <c r="G17" s="11"/>
      <c r="H17" s="8"/>
    </row>
    <row r="18" spans="2:8" ht="21.75" customHeight="1" thickBot="1">
      <c r="B18" s="9" t="s">
        <v>140</v>
      </c>
      <c r="C18" s="26" t="s">
        <v>180</v>
      </c>
      <c r="D18" s="11"/>
      <c r="E18" s="11"/>
      <c r="F18" s="26"/>
      <c r="G18" s="11"/>
      <c r="H18" s="8"/>
    </row>
    <row r="19" spans="2:8" ht="21.75" customHeight="1" thickBot="1">
      <c r="B19" s="9" t="s">
        <v>141</v>
      </c>
      <c r="C19" s="30" t="s">
        <v>181</v>
      </c>
      <c r="D19" s="13"/>
      <c r="E19" s="13"/>
      <c r="F19" s="13"/>
      <c r="G19" s="13"/>
      <c r="H19" s="14"/>
    </row>
    <row r="20" spans="2:8" ht="32.25" thickBot="1">
      <c r="B20" s="31" t="s">
        <v>182</v>
      </c>
      <c r="C20" s="26" t="s">
        <v>197</v>
      </c>
      <c r="D20" s="11"/>
      <c r="E20" s="11"/>
      <c r="F20" s="11"/>
      <c r="G20" s="11"/>
      <c r="H20" s="8"/>
    </row>
    <row r="21" spans="2:8" ht="47.25" customHeight="1">
      <c r="B21" s="19"/>
      <c r="E21" s="17"/>
      <c r="F21" s="2"/>
      <c r="G21" s="2"/>
      <c r="H21" s="2"/>
    </row>
    <row r="22" spans="2:8" ht="15.75">
      <c r="B22" s="2"/>
      <c r="C22" s="2"/>
      <c r="D22" s="2"/>
      <c r="E22" s="2"/>
      <c r="F22" s="6"/>
      <c r="G22" s="2"/>
      <c r="H22" s="2"/>
    </row>
    <row r="23" spans="2:8" ht="12.75">
      <c r="B23" s="15"/>
      <c r="C23" s="15"/>
      <c r="D23" s="15"/>
      <c r="E23" s="15"/>
      <c r="F23" s="15"/>
      <c r="G23" s="15"/>
      <c r="H23" s="15"/>
    </row>
    <row r="24" ht="16.5">
      <c r="B24" s="16"/>
    </row>
    <row r="25" ht="15.75">
      <c r="B25" s="1"/>
    </row>
    <row r="26" ht="15.75">
      <c r="B26" s="1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</sheetData>
  <sheetProtection/>
  <mergeCells count="10">
    <mergeCell ref="G14:H14"/>
    <mergeCell ref="C14:E14"/>
    <mergeCell ref="B8:H8"/>
    <mergeCell ref="C16:D16"/>
    <mergeCell ref="C12:E12"/>
    <mergeCell ref="G12:H12"/>
    <mergeCell ref="C13:E13"/>
    <mergeCell ref="C11:E11"/>
    <mergeCell ref="G11:H11"/>
    <mergeCell ref="E5:G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4"/>
  <sheetViews>
    <sheetView zoomScale="120" zoomScaleNormal="120" zoomScalePageLayoutView="0" workbookViewId="0" topLeftCell="A91">
      <selection activeCell="M113" sqref="M113"/>
    </sheetView>
  </sheetViews>
  <sheetFormatPr defaultColWidth="9.140625" defaultRowHeight="12.75"/>
  <cols>
    <col min="1" max="1" width="32.8515625" style="53" customWidth="1"/>
    <col min="2" max="2" width="4.7109375" style="53" customWidth="1"/>
    <col min="3" max="3" width="6.28125" style="53" customWidth="1"/>
    <col min="4" max="4" width="6.140625" style="53" customWidth="1"/>
    <col min="5" max="5" width="6.7109375" style="53" customWidth="1"/>
    <col min="6" max="6" width="5.8515625" style="53" customWidth="1"/>
    <col min="7" max="7" width="5.7109375" style="53" customWidth="1"/>
    <col min="8" max="8" width="6.28125" style="53" customWidth="1"/>
    <col min="9" max="9" width="7.421875" style="53" customWidth="1"/>
    <col min="10" max="12" width="9.7109375" style="154" bestFit="1" customWidth="1"/>
    <col min="13" max="14" width="9.140625" style="154" customWidth="1"/>
    <col min="15" max="16384" width="9.140625" style="53" customWidth="1"/>
  </cols>
  <sheetData>
    <row r="1" spans="1:14" s="32" customFormat="1" ht="18" customHeight="1">
      <c r="A1" s="197" t="s">
        <v>235</v>
      </c>
      <c r="B1" s="197"/>
      <c r="C1" s="197"/>
      <c r="D1" s="197"/>
      <c r="E1" s="197"/>
      <c r="F1" s="197"/>
      <c r="G1" s="197"/>
      <c r="H1" s="197"/>
      <c r="I1" s="197"/>
      <c r="J1" s="54"/>
      <c r="K1" s="54"/>
      <c r="L1" s="54"/>
      <c r="M1" s="54"/>
      <c r="N1" s="54"/>
    </row>
    <row r="2" spans="7:14" s="32" customFormat="1" ht="12.75">
      <c r="G2" s="198" t="s">
        <v>127</v>
      </c>
      <c r="H2" s="198"/>
      <c r="I2" s="198"/>
      <c r="J2" s="54"/>
      <c r="K2" s="54"/>
      <c r="L2" s="54"/>
      <c r="M2" s="54"/>
      <c r="N2" s="54"/>
    </row>
    <row r="3" spans="1:14" s="32" customFormat="1" ht="12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54"/>
      <c r="K3" s="54"/>
      <c r="L3" s="54"/>
      <c r="M3" s="54"/>
      <c r="N3" s="54"/>
    </row>
    <row r="4" spans="1:9" ht="1.5" customHeight="1">
      <c r="A4" s="36"/>
      <c r="B4" s="37"/>
      <c r="C4" s="36"/>
      <c r="D4" s="37"/>
      <c r="E4" s="37"/>
      <c r="F4" s="36"/>
      <c r="G4" s="36"/>
      <c r="H4" s="36"/>
      <c r="I4" s="36"/>
    </row>
    <row r="5" spans="1:14" s="45" customFormat="1" ht="11.25" customHeight="1">
      <c r="A5" s="200" t="s">
        <v>1</v>
      </c>
      <c r="B5" s="201" t="s">
        <v>2</v>
      </c>
      <c r="C5" s="201" t="s">
        <v>216</v>
      </c>
      <c r="D5" s="201" t="s">
        <v>217</v>
      </c>
      <c r="E5" s="201" t="s">
        <v>230</v>
      </c>
      <c r="F5" s="201" t="s">
        <v>3</v>
      </c>
      <c r="G5" s="201"/>
      <c r="H5" s="201"/>
      <c r="I5" s="201"/>
      <c r="J5" s="155"/>
      <c r="K5" s="155"/>
      <c r="L5" s="155"/>
      <c r="M5" s="155"/>
      <c r="N5" s="155"/>
    </row>
    <row r="6" spans="1:14" s="45" customFormat="1" ht="50.25" customHeight="1">
      <c r="A6" s="200"/>
      <c r="B6" s="201"/>
      <c r="C6" s="201"/>
      <c r="D6" s="201"/>
      <c r="E6" s="201"/>
      <c r="F6" s="110" t="s">
        <v>4</v>
      </c>
      <c r="G6" s="110" t="s">
        <v>5</v>
      </c>
      <c r="H6" s="110" t="s">
        <v>6</v>
      </c>
      <c r="I6" s="110" t="s">
        <v>7</v>
      </c>
      <c r="J6" s="155"/>
      <c r="K6" s="155"/>
      <c r="L6" s="155"/>
      <c r="M6" s="155"/>
      <c r="N6" s="155"/>
    </row>
    <row r="7" spans="1:14" s="45" customFormat="1" ht="11.25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55"/>
      <c r="K7" s="155"/>
      <c r="L7" s="155"/>
      <c r="M7" s="155"/>
      <c r="N7" s="155"/>
    </row>
    <row r="8" spans="1:14" s="45" customFormat="1" ht="12.75" customHeight="1">
      <c r="A8" s="104" t="s">
        <v>8</v>
      </c>
      <c r="B8" s="104"/>
      <c r="C8" s="104"/>
      <c r="D8" s="104"/>
      <c r="E8" s="104"/>
      <c r="F8" s="104"/>
      <c r="G8" s="104"/>
      <c r="H8" s="104"/>
      <c r="I8" s="104"/>
      <c r="J8" s="155"/>
      <c r="K8" s="155"/>
      <c r="L8" s="155"/>
      <c r="M8" s="155"/>
      <c r="N8" s="155"/>
    </row>
    <row r="9" spans="1:14" s="45" customFormat="1" ht="24" customHeight="1">
      <c r="A9" s="65" t="s">
        <v>9</v>
      </c>
      <c r="B9" s="66">
        <v>1000</v>
      </c>
      <c r="C9" s="67"/>
      <c r="D9" s="67"/>
      <c r="E9" s="67"/>
      <c r="F9" s="67"/>
      <c r="G9" s="67"/>
      <c r="H9" s="67"/>
      <c r="I9" s="67"/>
      <c r="J9" s="155"/>
      <c r="K9" s="155"/>
      <c r="L9" s="155"/>
      <c r="M9" s="155"/>
      <c r="N9" s="155"/>
    </row>
    <row r="10" spans="1:14" s="45" customFormat="1" ht="19.5" customHeight="1">
      <c r="A10" s="65" t="s">
        <v>10</v>
      </c>
      <c r="B10" s="66">
        <v>1010</v>
      </c>
      <c r="C10" s="67"/>
      <c r="D10" s="67"/>
      <c r="E10" s="67"/>
      <c r="F10" s="67"/>
      <c r="G10" s="67"/>
      <c r="H10" s="67"/>
      <c r="I10" s="67"/>
      <c r="J10" s="155"/>
      <c r="K10" s="155"/>
      <c r="L10" s="155"/>
      <c r="M10" s="155"/>
      <c r="N10" s="155"/>
    </row>
    <row r="11" spans="1:14" s="45" customFormat="1" ht="15" customHeight="1">
      <c r="A11" s="65" t="s">
        <v>11</v>
      </c>
      <c r="B11" s="107">
        <v>1011</v>
      </c>
      <c r="C11" s="67"/>
      <c r="D11" s="67"/>
      <c r="E11" s="67"/>
      <c r="F11" s="67"/>
      <c r="G11" s="67"/>
      <c r="H11" s="67"/>
      <c r="I11" s="67"/>
      <c r="J11" s="155"/>
      <c r="K11" s="155"/>
      <c r="L11" s="155"/>
      <c r="M11" s="155"/>
      <c r="N11" s="155"/>
    </row>
    <row r="12" spans="1:14" s="45" customFormat="1" ht="11.25">
      <c r="A12" s="65" t="s">
        <v>12</v>
      </c>
      <c r="B12" s="107">
        <v>1012</v>
      </c>
      <c r="C12" s="67"/>
      <c r="D12" s="67"/>
      <c r="E12" s="67"/>
      <c r="F12" s="67"/>
      <c r="G12" s="67"/>
      <c r="H12" s="67"/>
      <c r="I12" s="67"/>
      <c r="J12" s="155"/>
      <c r="K12" s="155"/>
      <c r="L12" s="155"/>
      <c r="M12" s="155"/>
      <c r="N12" s="155"/>
    </row>
    <row r="13" spans="1:14" s="45" customFormat="1" ht="11.25">
      <c r="A13" s="65" t="s">
        <v>13</v>
      </c>
      <c r="B13" s="107">
        <v>1013</v>
      </c>
      <c r="C13" s="67"/>
      <c r="D13" s="67"/>
      <c r="E13" s="67"/>
      <c r="F13" s="67"/>
      <c r="G13" s="67"/>
      <c r="H13" s="67"/>
      <c r="I13" s="67"/>
      <c r="J13" s="155"/>
      <c r="K13" s="155"/>
      <c r="L13" s="155"/>
      <c r="M13" s="155"/>
      <c r="N13" s="155"/>
    </row>
    <row r="14" spans="1:14" s="45" customFormat="1" ht="15" customHeight="1">
      <c r="A14" s="65" t="s">
        <v>14</v>
      </c>
      <c r="B14" s="107">
        <v>1014</v>
      </c>
      <c r="C14" s="67"/>
      <c r="D14" s="67"/>
      <c r="E14" s="67"/>
      <c r="F14" s="67"/>
      <c r="G14" s="67"/>
      <c r="H14" s="67"/>
      <c r="I14" s="67"/>
      <c r="J14" s="155"/>
      <c r="K14" s="155"/>
      <c r="L14" s="155"/>
      <c r="M14" s="155"/>
      <c r="N14" s="155"/>
    </row>
    <row r="15" spans="1:14" s="45" customFormat="1" ht="11.25">
      <c r="A15" s="65" t="s">
        <v>15</v>
      </c>
      <c r="B15" s="107">
        <v>1015</v>
      </c>
      <c r="C15" s="67"/>
      <c r="D15" s="67"/>
      <c r="E15" s="67"/>
      <c r="F15" s="67"/>
      <c r="G15" s="67"/>
      <c r="H15" s="67"/>
      <c r="I15" s="67"/>
      <c r="J15" s="155"/>
      <c r="K15" s="155"/>
      <c r="L15" s="155"/>
      <c r="M15" s="155"/>
      <c r="N15" s="155"/>
    </row>
    <row r="16" spans="1:14" s="45" customFormat="1" ht="33" customHeight="1">
      <c r="A16" s="65" t="s">
        <v>16</v>
      </c>
      <c r="B16" s="107">
        <v>1016</v>
      </c>
      <c r="C16" s="67"/>
      <c r="D16" s="67"/>
      <c r="E16" s="67"/>
      <c r="F16" s="67"/>
      <c r="G16" s="67"/>
      <c r="H16" s="67"/>
      <c r="I16" s="67"/>
      <c r="J16" s="155"/>
      <c r="K16" s="155"/>
      <c r="L16" s="155"/>
      <c r="M16" s="155"/>
      <c r="N16" s="155"/>
    </row>
    <row r="17" spans="1:14" s="45" customFormat="1" ht="16.5" customHeight="1">
      <c r="A17" s="65" t="s">
        <v>17</v>
      </c>
      <c r="B17" s="107">
        <v>1017</v>
      </c>
      <c r="C17" s="67"/>
      <c r="D17" s="67"/>
      <c r="E17" s="67"/>
      <c r="F17" s="67"/>
      <c r="G17" s="67"/>
      <c r="H17" s="67"/>
      <c r="I17" s="67"/>
      <c r="J17" s="155"/>
      <c r="K17" s="155"/>
      <c r="L17" s="155"/>
      <c r="M17" s="155"/>
      <c r="N17" s="155"/>
    </row>
    <row r="18" spans="1:14" s="45" customFormat="1" ht="11.25">
      <c r="A18" s="65" t="s">
        <v>18</v>
      </c>
      <c r="B18" s="107">
        <v>1018</v>
      </c>
      <c r="C18" s="67"/>
      <c r="D18" s="67"/>
      <c r="E18" s="67"/>
      <c r="F18" s="67"/>
      <c r="G18" s="67"/>
      <c r="H18" s="67"/>
      <c r="I18" s="67"/>
      <c r="J18" s="155"/>
      <c r="K18" s="155"/>
      <c r="L18" s="155"/>
      <c r="M18" s="155"/>
      <c r="N18" s="155"/>
    </row>
    <row r="19" spans="1:14" s="45" customFormat="1" ht="11.25">
      <c r="A19" s="104" t="s">
        <v>19</v>
      </c>
      <c r="B19" s="68">
        <v>1020</v>
      </c>
      <c r="C19" s="69"/>
      <c r="D19" s="69"/>
      <c r="E19" s="69"/>
      <c r="F19" s="69"/>
      <c r="G19" s="69"/>
      <c r="H19" s="69"/>
      <c r="I19" s="69"/>
      <c r="J19" s="155"/>
      <c r="K19" s="155"/>
      <c r="L19" s="155"/>
      <c r="M19" s="155"/>
      <c r="N19" s="155"/>
    </row>
    <row r="20" spans="1:14" s="45" customFormat="1" ht="15.75" customHeight="1">
      <c r="A20" s="65" t="s">
        <v>20</v>
      </c>
      <c r="B20" s="66">
        <v>1030</v>
      </c>
      <c r="C20" s="67">
        <f aca="true" t="shared" si="0" ref="C20:I20">C21+C22+C23+C24+C25+C26+C27+C28+C29+C30+C31+C32+C33+C34+C35+C36+C37+C38+C39+C40+C41+C42</f>
        <v>4990</v>
      </c>
      <c r="D20" s="67">
        <f>D21+D22+D23+D24+D25+D26+D27+D28+D29+D30+D31+D32+D33+D34+D35+D36+D37+D38+D39+D40+D41+D42</f>
        <v>5012</v>
      </c>
      <c r="E20" s="67">
        <f>E21+E22+E23+E24+E25+E26+E27+E28+E29+E30+E31+E32+E33+E34+E35+E36+E37+E38+E39+E40+E41+E42</f>
        <v>5707</v>
      </c>
      <c r="F20" s="67">
        <f t="shared" si="0"/>
        <v>1598</v>
      </c>
      <c r="G20" s="67">
        <f t="shared" si="0"/>
        <v>1274</v>
      </c>
      <c r="H20" s="67">
        <f t="shared" si="0"/>
        <v>1257</v>
      </c>
      <c r="I20" s="67">
        <f t="shared" si="0"/>
        <v>1578</v>
      </c>
      <c r="J20" s="156"/>
      <c r="K20" s="156"/>
      <c r="L20" s="155"/>
      <c r="M20" s="155"/>
      <c r="N20" s="155"/>
    </row>
    <row r="21" spans="1:14" s="45" customFormat="1" ht="20.25" customHeight="1">
      <c r="A21" s="65" t="s">
        <v>21</v>
      </c>
      <c r="B21" s="66">
        <v>1031</v>
      </c>
      <c r="C21" s="67">
        <v>20</v>
      </c>
      <c r="D21" s="67">
        <v>10</v>
      </c>
      <c r="E21" s="67"/>
      <c r="F21" s="67"/>
      <c r="G21" s="67"/>
      <c r="H21" s="67"/>
      <c r="I21" s="67"/>
      <c r="J21" s="156"/>
      <c r="K21" s="156"/>
      <c r="L21" s="157"/>
      <c r="M21" s="155"/>
      <c r="N21" s="155"/>
    </row>
    <row r="22" spans="1:14" s="45" customFormat="1" ht="11.25">
      <c r="A22" s="65" t="s">
        <v>22</v>
      </c>
      <c r="B22" s="66">
        <v>1032</v>
      </c>
      <c r="C22" s="67"/>
      <c r="D22" s="67"/>
      <c r="E22" s="67"/>
      <c r="F22" s="67"/>
      <c r="G22" s="67"/>
      <c r="H22" s="67"/>
      <c r="I22" s="67"/>
      <c r="J22" s="156"/>
      <c r="K22" s="155"/>
      <c r="L22" s="155"/>
      <c r="M22" s="155"/>
      <c r="N22" s="155"/>
    </row>
    <row r="23" spans="1:14" s="45" customFormat="1" ht="11.25">
      <c r="A23" s="65" t="s">
        <v>23</v>
      </c>
      <c r="B23" s="66">
        <v>1033</v>
      </c>
      <c r="C23" s="67"/>
      <c r="D23" s="67"/>
      <c r="E23" s="67"/>
      <c r="F23" s="67"/>
      <c r="G23" s="67"/>
      <c r="H23" s="67"/>
      <c r="I23" s="67"/>
      <c r="J23" s="156"/>
      <c r="K23" s="155"/>
      <c r="L23" s="155"/>
      <c r="M23" s="155"/>
      <c r="N23" s="155"/>
    </row>
    <row r="24" spans="1:14" s="45" customFormat="1" ht="11.25">
      <c r="A24" s="65" t="s">
        <v>24</v>
      </c>
      <c r="B24" s="66">
        <v>1034</v>
      </c>
      <c r="C24" s="67"/>
      <c r="D24" s="67"/>
      <c r="E24" s="67"/>
      <c r="F24" s="67"/>
      <c r="G24" s="67"/>
      <c r="H24" s="67"/>
      <c r="I24" s="67"/>
      <c r="J24" s="156"/>
      <c r="K24" s="155"/>
      <c r="L24" s="155"/>
      <c r="M24" s="155"/>
      <c r="N24" s="155"/>
    </row>
    <row r="25" spans="1:14" s="45" customFormat="1" ht="11.25">
      <c r="A25" s="65" t="s">
        <v>25</v>
      </c>
      <c r="B25" s="66">
        <v>1035</v>
      </c>
      <c r="C25" s="67"/>
      <c r="D25" s="67"/>
      <c r="E25" s="67"/>
      <c r="F25" s="67"/>
      <c r="G25" s="67"/>
      <c r="H25" s="67"/>
      <c r="I25" s="67"/>
      <c r="J25" s="156"/>
      <c r="K25" s="155"/>
      <c r="L25" s="155"/>
      <c r="M25" s="155"/>
      <c r="N25" s="155"/>
    </row>
    <row r="26" spans="1:14" s="45" customFormat="1" ht="12.75" customHeight="1">
      <c r="A26" s="65" t="s">
        <v>26</v>
      </c>
      <c r="B26" s="66">
        <v>1036</v>
      </c>
      <c r="C26" s="70">
        <v>1</v>
      </c>
      <c r="D26" s="70">
        <v>5</v>
      </c>
      <c r="E26" s="70">
        <v>13</v>
      </c>
      <c r="F26" s="70">
        <v>3</v>
      </c>
      <c r="G26" s="70">
        <v>4</v>
      </c>
      <c r="H26" s="70">
        <v>3</v>
      </c>
      <c r="I26" s="70">
        <v>3</v>
      </c>
      <c r="J26" s="156"/>
      <c r="K26" s="155"/>
      <c r="L26" s="155"/>
      <c r="M26" s="155"/>
      <c r="N26" s="155"/>
    </row>
    <row r="27" spans="1:14" s="45" customFormat="1" ht="21">
      <c r="A27" s="65" t="s">
        <v>203</v>
      </c>
      <c r="B27" s="66">
        <v>1037</v>
      </c>
      <c r="C27" s="70">
        <v>10</v>
      </c>
      <c r="D27" s="70">
        <v>10</v>
      </c>
      <c r="E27" s="70">
        <v>14</v>
      </c>
      <c r="F27" s="70">
        <v>4</v>
      </c>
      <c r="G27" s="70">
        <v>3</v>
      </c>
      <c r="H27" s="70">
        <v>4</v>
      </c>
      <c r="I27" s="70">
        <v>3</v>
      </c>
      <c r="J27" s="156"/>
      <c r="K27" s="155"/>
      <c r="L27" s="155"/>
      <c r="M27" s="155"/>
      <c r="N27" s="155"/>
    </row>
    <row r="28" spans="1:16" s="45" customFormat="1" ht="11.25">
      <c r="A28" s="65" t="s">
        <v>27</v>
      </c>
      <c r="B28" s="66">
        <v>1038</v>
      </c>
      <c r="C28" s="67">
        <v>3899</v>
      </c>
      <c r="D28" s="67">
        <v>3896</v>
      </c>
      <c r="E28" s="67">
        <f>F28+G28+H28+I28</f>
        <v>4321</v>
      </c>
      <c r="F28" s="67">
        <f>1150+31</f>
        <v>1181</v>
      </c>
      <c r="G28" s="67">
        <f>950+30</f>
        <v>980</v>
      </c>
      <c r="H28" s="67">
        <f>949+30</f>
        <v>979</v>
      </c>
      <c r="I28" s="67">
        <f>1150+31</f>
        <v>1181</v>
      </c>
      <c r="J28" s="156"/>
      <c r="K28" s="158">
        <v>4321</v>
      </c>
      <c r="L28" s="155"/>
      <c r="M28" s="158">
        <f>E28-K28</f>
        <v>0</v>
      </c>
      <c r="N28" s="155"/>
      <c r="P28" s="111"/>
    </row>
    <row r="29" spans="1:16" s="45" customFormat="1" ht="16.5" customHeight="1">
      <c r="A29" s="65" t="s">
        <v>28</v>
      </c>
      <c r="B29" s="66">
        <v>1039</v>
      </c>
      <c r="C29" s="67">
        <v>858</v>
      </c>
      <c r="D29" s="67">
        <v>857</v>
      </c>
      <c r="E29" s="67">
        <f>F29+G29+H29+I29</f>
        <v>951</v>
      </c>
      <c r="F29" s="67">
        <f>253+7</f>
        <v>260</v>
      </c>
      <c r="G29" s="67">
        <f>209+7</f>
        <v>216</v>
      </c>
      <c r="H29" s="67">
        <f>209+6</f>
        <v>215</v>
      </c>
      <c r="I29" s="67">
        <f>253+7</f>
        <v>260</v>
      </c>
      <c r="J29" s="156"/>
      <c r="K29" s="159">
        <f>E29-951</f>
        <v>0</v>
      </c>
      <c r="L29" s="159"/>
      <c r="M29" s="159">
        <f>F28*22%</f>
        <v>259.82</v>
      </c>
      <c r="N29" s="159">
        <f>G28*22%</f>
        <v>215.6</v>
      </c>
      <c r="O29" s="111">
        <f>H28*22%</f>
        <v>215.38</v>
      </c>
      <c r="P29" s="111">
        <f>I28*22%</f>
        <v>259.82</v>
      </c>
    </row>
    <row r="30" spans="1:16" s="45" customFormat="1" ht="26.25" customHeight="1">
      <c r="A30" s="65" t="s">
        <v>29</v>
      </c>
      <c r="B30" s="66">
        <v>1040</v>
      </c>
      <c r="C30" s="67">
        <v>25</v>
      </c>
      <c r="D30" s="67">
        <v>25</v>
      </c>
      <c r="E30" s="67">
        <v>25</v>
      </c>
      <c r="F30" s="67">
        <v>6</v>
      </c>
      <c r="G30" s="67">
        <v>6</v>
      </c>
      <c r="H30" s="67">
        <v>6</v>
      </c>
      <c r="I30" s="67">
        <v>7</v>
      </c>
      <c r="J30" s="156"/>
      <c r="K30" s="155"/>
      <c r="L30" s="155"/>
      <c r="M30" s="159">
        <f>F29-M29</f>
        <v>0.18000000000000682</v>
      </c>
      <c r="N30" s="159">
        <f>G29-N29</f>
        <v>0.4000000000000057</v>
      </c>
      <c r="O30" s="111">
        <f>H29-O29</f>
        <v>-0.37999999999999545</v>
      </c>
      <c r="P30" s="111">
        <f>I29-P29</f>
        <v>0.18000000000000682</v>
      </c>
    </row>
    <row r="31" spans="1:14" s="45" customFormat="1" ht="34.5" customHeight="1">
      <c r="A31" s="65" t="s">
        <v>30</v>
      </c>
      <c r="B31" s="66">
        <v>1041</v>
      </c>
      <c r="C31" s="67"/>
      <c r="D31" s="67"/>
      <c r="E31" s="67"/>
      <c r="F31" s="67"/>
      <c r="G31" s="67"/>
      <c r="H31" s="67"/>
      <c r="I31" s="67"/>
      <c r="J31" s="156"/>
      <c r="K31" s="155"/>
      <c r="L31" s="155"/>
      <c r="M31" s="155"/>
      <c r="N31" s="155"/>
    </row>
    <row r="32" spans="1:14" s="45" customFormat="1" ht="21">
      <c r="A32" s="65" t="s">
        <v>31</v>
      </c>
      <c r="B32" s="66">
        <v>1042</v>
      </c>
      <c r="C32" s="67"/>
      <c r="D32" s="67"/>
      <c r="E32" s="67"/>
      <c r="F32" s="67"/>
      <c r="G32" s="67"/>
      <c r="H32" s="67"/>
      <c r="I32" s="67"/>
      <c r="J32" s="156"/>
      <c r="K32" s="155"/>
      <c r="L32" s="155"/>
      <c r="M32" s="155"/>
      <c r="N32" s="155"/>
    </row>
    <row r="33" spans="1:14" s="45" customFormat="1" ht="21">
      <c r="A33" s="65" t="s">
        <v>32</v>
      </c>
      <c r="B33" s="66">
        <v>1043</v>
      </c>
      <c r="C33" s="67"/>
      <c r="D33" s="67"/>
      <c r="E33" s="67"/>
      <c r="F33" s="67"/>
      <c r="G33" s="67"/>
      <c r="H33" s="67"/>
      <c r="I33" s="67"/>
      <c r="J33" s="156"/>
      <c r="K33" s="155"/>
      <c r="L33" s="155"/>
      <c r="M33" s="155"/>
      <c r="N33" s="155"/>
    </row>
    <row r="34" spans="1:14" s="45" customFormat="1" ht="11.25">
      <c r="A34" s="65" t="s">
        <v>33</v>
      </c>
      <c r="B34" s="66">
        <v>1044</v>
      </c>
      <c r="C34" s="67"/>
      <c r="D34" s="67"/>
      <c r="E34" s="67"/>
      <c r="F34" s="67"/>
      <c r="G34" s="67"/>
      <c r="H34" s="67"/>
      <c r="I34" s="67"/>
      <c r="J34" s="156"/>
      <c r="K34" s="155"/>
      <c r="L34" s="155"/>
      <c r="M34" s="155"/>
      <c r="N34" s="155"/>
    </row>
    <row r="35" spans="1:14" s="45" customFormat="1" ht="31.5">
      <c r="A35" s="65" t="s">
        <v>206</v>
      </c>
      <c r="B35" s="66">
        <v>1045</v>
      </c>
      <c r="C35" s="67">
        <v>1</v>
      </c>
      <c r="D35" s="67">
        <v>36</v>
      </c>
      <c r="E35" s="67">
        <v>39</v>
      </c>
      <c r="F35" s="67"/>
      <c r="G35" s="67"/>
      <c r="H35" s="67"/>
      <c r="I35" s="67">
        <v>39</v>
      </c>
      <c r="J35" s="156"/>
      <c r="K35" s="155"/>
      <c r="L35" s="155"/>
      <c r="M35" s="155"/>
      <c r="N35" s="155"/>
    </row>
    <row r="36" spans="1:14" s="45" customFormat="1" ht="21">
      <c r="A36" s="65" t="s">
        <v>241</v>
      </c>
      <c r="B36" s="66">
        <v>1046</v>
      </c>
      <c r="C36" s="67"/>
      <c r="D36" s="67"/>
      <c r="E36" s="67">
        <v>49</v>
      </c>
      <c r="F36" s="67">
        <v>49</v>
      </c>
      <c r="G36" s="67"/>
      <c r="H36" s="67"/>
      <c r="I36" s="67"/>
      <c r="J36" s="156"/>
      <c r="K36" s="155"/>
      <c r="L36" s="159"/>
      <c r="M36" s="155"/>
      <c r="N36" s="155"/>
    </row>
    <row r="37" spans="1:14" s="45" customFormat="1" ht="11.25">
      <c r="A37" s="65" t="s">
        <v>202</v>
      </c>
      <c r="B37" s="66">
        <v>1047</v>
      </c>
      <c r="C37" s="67"/>
      <c r="D37" s="67">
        <v>2</v>
      </c>
      <c r="E37" s="67"/>
      <c r="F37" s="67"/>
      <c r="G37" s="67"/>
      <c r="H37" s="67"/>
      <c r="I37" s="67"/>
      <c r="J37" s="156"/>
      <c r="K37" s="155"/>
      <c r="L37" s="155"/>
      <c r="M37" s="155"/>
      <c r="N37" s="155"/>
    </row>
    <row r="38" spans="1:14" s="45" customFormat="1" ht="21">
      <c r="A38" s="65" t="s">
        <v>34</v>
      </c>
      <c r="B38" s="66">
        <v>1048</v>
      </c>
      <c r="C38" s="67"/>
      <c r="D38" s="67"/>
      <c r="E38" s="67"/>
      <c r="F38" s="67"/>
      <c r="G38" s="67"/>
      <c r="H38" s="67"/>
      <c r="I38" s="67"/>
      <c r="J38" s="156"/>
      <c r="K38" s="155"/>
      <c r="L38" s="155"/>
      <c r="M38" s="155"/>
      <c r="N38" s="155"/>
    </row>
    <row r="39" spans="1:14" s="45" customFormat="1" ht="21">
      <c r="A39" s="65" t="s">
        <v>35</v>
      </c>
      <c r="B39" s="66">
        <v>1049</v>
      </c>
      <c r="C39" s="67">
        <v>3</v>
      </c>
      <c r="D39" s="67">
        <v>6</v>
      </c>
      <c r="E39" s="67">
        <v>7</v>
      </c>
      <c r="F39" s="67">
        <v>1</v>
      </c>
      <c r="G39" s="67">
        <v>2</v>
      </c>
      <c r="H39" s="67">
        <v>2</v>
      </c>
      <c r="I39" s="67">
        <v>2</v>
      </c>
      <c r="J39" s="156"/>
      <c r="K39" s="155"/>
      <c r="L39" s="159"/>
      <c r="M39" s="155"/>
      <c r="N39" s="155"/>
    </row>
    <row r="40" spans="1:14" s="45" customFormat="1" ht="36.75" customHeight="1">
      <c r="A40" s="65" t="s">
        <v>36</v>
      </c>
      <c r="B40" s="66">
        <v>1050</v>
      </c>
      <c r="C40" s="67"/>
      <c r="D40" s="67"/>
      <c r="E40" s="67"/>
      <c r="F40" s="67"/>
      <c r="G40" s="67"/>
      <c r="H40" s="67"/>
      <c r="I40" s="67"/>
      <c r="J40" s="156"/>
      <c r="K40" s="159"/>
      <c r="L40" s="155"/>
      <c r="M40" s="159"/>
      <c r="N40" s="159"/>
    </row>
    <row r="41" spans="1:14" s="45" customFormat="1" ht="11.25">
      <c r="A41" s="65" t="s">
        <v>37</v>
      </c>
      <c r="B41" s="106" t="s">
        <v>38</v>
      </c>
      <c r="C41" s="67"/>
      <c r="D41" s="67"/>
      <c r="E41" s="67"/>
      <c r="F41" s="67"/>
      <c r="G41" s="67"/>
      <c r="H41" s="67"/>
      <c r="I41" s="67"/>
      <c r="J41" s="156"/>
      <c r="K41" s="155"/>
      <c r="L41" s="155"/>
      <c r="M41" s="155"/>
      <c r="N41" s="155"/>
    </row>
    <row r="42" spans="1:14" s="45" customFormat="1" ht="11.25" customHeight="1">
      <c r="A42" s="65" t="s">
        <v>192</v>
      </c>
      <c r="B42" s="66">
        <v>1051</v>
      </c>
      <c r="C42" s="69">
        <f>C44+C45+C46+C47+C48+C49+C50+C51+C52+C53+C54+C55+C56+C57</f>
        <v>173</v>
      </c>
      <c r="D42" s="67">
        <f>D44+D45+D46+D47+D48+D49+D50+D51+D52+D53+D54+D55+D56+D57</f>
        <v>165</v>
      </c>
      <c r="E42" s="67">
        <f>E44+E45+E46+E47+E48+E49+E50+E51+E52+E53+E54+E55+E56+E57+E43</f>
        <v>288</v>
      </c>
      <c r="F42" s="67">
        <f>F44+F45+F46+F47+F48+F49+F50+F51+F52+F53+F54+F55+F56+F57+F43</f>
        <v>94</v>
      </c>
      <c r="G42" s="67">
        <f>G44+G45+G46+G47+G48+G49+G50+G51+G52+G53+G54+G55+G56+G57</f>
        <v>63</v>
      </c>
      <c r="H42" s="67">
        <f>H44+H45+H46+H47+H48+H49+H50+H51+H52+H53+H54+H55+H56+H57</f>
        <v>48</v>
      </c>
      <c r="I42" s="67">
        <f>I44+I45+I46+I47+I48+I49+I50+I51+I52+I53+I54+I55+I56</f>
        <v>83</v>
      </c>
      <c r="J42" s="156"/>
      <c r="K42" s="155"/>
      <c r="L42" s="155"/>
      <c r="M42" s="159"/>
      <c r="N42" s="155"/>
    </row>
    <row r="43" spans="1:14" s="45" customFormat="1" ht="11.25" customHeight="1">
      <c r="A43" s="71" t="s">
        <v>228</v>
      </c>
      <c r="B43" s="66"/>
      <c r="C43" s="67"/>
      <c r="D43" s="67"/>
      <c r="E43" s="67">
        <v>1</v>
      </c>
      <c r="F43" s="67">
        <v>1</v>
      </c>
      <c r="G43" s="67"/>
      <c r="H43" s="67"/>
      <c r="I43" s="67"/>
      <c r="J43" s="156"/>
      <c r="K43" s="155"/>
      <c r="L43" s="155"/>
      <c r="M43" s="155"/>
      <c r="N43" s="155"/>
    </row>
    <row r="44" spans="1:14" s="45" customFormat="1" ht="9.75" customHeight="1">
      <c r="A44" s="72" t="s">
        <v>161</v>
      </c>
      <c r="B44" s="66"/>
      <c r="C44" s="67">
        <v>20</v>
      </c>
      <c r="D44" s="67">
        <v>12</v>
      </c>
      <c r="E44" s="67">
        <v>17</v>
      </c>
      <c r="F44" s="67">
        <v>5</v>
      </c>
      <c r="G44" s="67">
        <v>4</v>
      </c>
      <c r="H44" s="67">
        <v>4</v>
      </c>
      <c r="I44" s="67">
        <v>4</v>
      </c>
      <c r="J44" s="156"/>
      <c r="K44" s="155"/>
      <c r="L44" s="155"/>
      <c r="M44" s="155"/>
      <c r="N44" s="155"/>
    </row>
    <row r="45" spans="1:14" s="45" customFormat="1" ht="12.75" customHeight="1">
      <c r="A45" s="73" t="s">
        <v>162</v>
      </c>
      <c r="B45" s="66"/>
      <c r="C45" s="67"/>
      <c r="D45" s="67">
        <v>5</v>
      </c>
      <c r="E45" s="67">
        <v>6</v>
      </c>
      <c r="F45" s="67">
        <v>2</v>
      </c>
      <c r="G45" s="67">
        <v>1</v>
      </c>
      <c r="H45" s="67">
        <v>2</v>
      </c>
      <c r="I45" s="67">
        <v>1</v>
      </c>
      <c r="J45" s="156"/>
      <c r="K45" s="155"/>
      <c r="L45" s="155"/>
      <c r="M45" s="155"/>
      <c r="N45" s="155"/>
    </row>
    <row r="46" spans="1:14" s="45" customFormat="1" ht="23.25" customHeight="1">
      <c r="A46" s="73" t="s">
        <v>163</v>
      </c>
      <c r="B46" s="66"/>
      <c r="C46" s="67">
        <v>12</v>
      </c>
      <c r="D46" s="67">
        <v>6</v>
      </c>
      <c r="E46" s="67">
        <v>6</v>
      </c>
      <c r="F46" s="67">
        <v>1</v>
      </c>
      <c r="G46" s="67">
        <v>2</v>
      </c>
      <c r="H46" s="67">
        <v>2</v>
      </c>
      <c r="I46" s="67">
        <v>1</v>
      </c>
      <c r="J46" s="156"/>
      <c r="K46" s="155"/>
      <c r="L46" s="155"/>
      <c r="M46" s="155"/>
      <c r="N46" s="155"/>
    </row>
    <row r="47" spans="1:14" s="45" customFormat="1" ht="12.75" customHeight="1">
      <c r="A47" s="74" t="s">
        <v>164</v>
      </c>
      <c r="B47" s="66"/>
      <c r="C47" s="67">
        <v>1</v>
      </c>
      <c r="D47" s="67">
        <v>1</v>
      </c>
      <c r="E47" s="67">
        <v>6</v>
      </c>
      <c r="F47" s="67">
        <v>1</v>
      </c>
      <c r="G47" s="67">
        <v>2</v>
      </c>
      <c r="H47" s="67">
        <v>1</v>
      </c>
      <c r="I47" s="67">
        <v>2</v>
      </c>
      <c r="J47" s="156"/>
      <c r="K47" s="155"/>
      <c r="L47" s="155"/>
      <c r="M47" s="155"/>
      <c r="N47" s="155"/>
    </row>
    <row r="48" spans="1:14" s="45" customFormat="1" ht="15" customHeight="1">
      <c r="A48" s="72" t="s">
        <v>226</v>
      </c>
      <c r="B48" s="66"/>
      <c r="C48" s="67">
        <v>4</v>
      </c>
      <c r="D48" s="67">
        <v>4</v>
      </c>
      <c r="E48" s="67">
        <v>6</v>
      </c>
      <c r="F48" s="67">
        <v>1</v>
      </c>
      <c r="G48" s="67">
        <v>2</v>
      </c>
      <c r="H48" s="67">
        <v>2</v>
      </c>
      <c r="I48" s="67">
        <v>1</v>
      </c>
      <c r="J48" s="156"/>
      <c r="K48" s="155"/>
      <c r="L48" s="155"/>
      <c r="M48" s="155"/>
      <c r="N48" s="155"/>
    </row>
    <row r="49" spans="1:14" s="45" customFormat="1" ht="11.25" customHeight="1">
      <c r="A49" s="72" t="s">
        <v>227</v>
      </c>
      <c r="B49" s="66"/>
      <c r="C49" s="67"/>
      <c r="D49" s="75"/>
      <c r="E49" s="67">
        <v>6</v>
      </c>
      <c r="F49" s="67">
        <v>1</v>
      </c>
      <c r="G49" s="67">
        <v>2</v>
      </c>
      <c r="H49" s="67">
        <v>1</v>
      </c>
      <c r="I49" s="67">
        <v>2</v>
      </c>
      <c r="J49" s="156"/>
      <c r="K49" s="155"/>
      <c r="L49" s="155"/>
      <c r="M49" s="155"/>
      <c r="N49" s="155"/>
    </row>
    <row r="50" spans="1:14" s="45" customFormat="1" ht="22.5" customHeight="1">
      <c r="A50" s="74" t="s">
        <v>165</v>
      </c>
      <c r="B50" s="66"/>
      <c r="C50" s="67">
        <v>7</v>
      </c>
      <c r="D50" s="67">
        <v>7</v>
      </c>
      <c r="E50" s="67">
        <v>27</v>
      </c>
      <c r="F50" s="67">
        <v>7</v>
      </c>
      <c r="G50" s="67">
        <v>6</v>
      </c>
      <c r="H50" s="67">
        <v>7</v>
      </c>
      <c r="I50" s="67">
        <v>7</v>
      </c>
      <c r="J50" s="156"/>
      <c r="K50" s="155"/>
      <c r="L50" s="155"/>
      <c r="M50" s="155"/>
      <c r="N50" s="155"/>
    </row>
    <row r="51" spans="1:14" s="45" customFormat="1" ht="11.25" customHeight="1">
      <c r="A51" s="74" t="s">
        <v>166</v>
      </c>
      <c r="B51" s="66"/>
      <c r="C51" s="67">
        <v>6</v>
      </c>
      <c r="D51" s="67">
        <v>4</v>
      </c>
      <c r="E51" s="67">
        <v>4</v>
      </c>
      <c r="F51" s="67">
        <v>1</v>
      </c>
      <c r="G51" s="67">
        <v>1</v>
      </c>
      <c r="H51" s="67">
        <v>1</v>
      </c>
      <c r="I51" s="67">
        <v>1</v>
      </c>
      <c r="J51" s="156"/>
      <c r="K51" s="155"/>
      <c r="L51" s="155"/>
      <c r="M51" s="155"/>
      <c r="N51" s="155"/>
    </row>
    <row r="52" spans="1:14" s="45" customFormat="1" ht="14.25" customHeight="1">
      <c r="A52" s="72" t="s">
        <v>167</v>
      </c>
      <c r="B52" s="66"/>
      <c r="C52" s="67">
        <v>14</v>
      </c>
      <c r="D52" s="67">
        <v>16</v>
      </c>
      <c r="E52" s="67">
        <v>16</v>
      </c>
      <c r="F52" s="67">
        <v>10</v>
      </c>
      <c r="G52" s="67"/>
      <c r="H52" s="67"/>
      <c r="I52" s="67">
        <v>6</v>
      </c>
      <c r="J52" s="156"/>
      <c r="K52" s="155"/>
      <c r="L52" s="155"/>
      <c r="M52" s="155"/>
      <c r="N52" s="155"/>
    </row>
    <row r="53" spans="1:14" s="45" customFormat="1" ht="11.25" customHeight="1">
      <c r="A53" s="72" t="s">
        <v>168</v>
      </c>
      <c r="B53" s="66"/>
      <c r="C53" s="67">
        <v>16</v>
      </c>
      <c r="D53" s="67">
        <v>16</v>
      </c>
      <c r="E53" s="67">
        <v>34</v>
      </c>
      <c r="F53" s="67">
        <v>9</v>
      </c>
      <c r="G53" s="67">
        <v>8</v>
      </c>
      <c r="H53" s="67">
        <v>8</v>
      </c>
      <c r="I53" s="67">
        <v>9</v>
      </c>
      <c r="J53" s="156"/>
      <c r="K53" s="159"/>
      <c r="L53" s="155"/>
      <c r="M53" s="155"/>
      <c r="N53" s="155"/>
    </row>
    <row r="54" spans="1:14" s="45" customFormat="1" ht="11.25">
      <c r="A54" s="72" t="s">
        <v>169</v>
      </c>
      <c r="B54" s="66"/>
      <c r="C54" s="67">
        <v>69</v>
      </c>
      <c r="D54" s="67">
        <v>48</v>
      </c>
      <c r="E54" s="67">
        <v>86</v>
      </c>
      <c r="F54" s="67">
        <v>37</v>
      </c>
      <c r="G54" s="67">
        <v>9</v>
      </c>
      <c r="H54" s="67">
        <v>10</v>
      </c>
      <c r="I54" s="67">
        <v>30</v>
      </c>
      <c r="J54" s="156"/>
      <c r="K54" s="155"/>
      <c r="L54" s="155"/>
      <c r="M54" s="155"/>
      <c r="N54" s="155"/>
    </row>
    <row r="55" spans="1:14" s="45" customFormat="1" ht="13.5" customHeight="1">
      <c r="A55" s="72" t="s">
        <v>170</v>
      </c>
      <c r="B55" s="66"/>
      <c r="C55" s="67"/>
      <c r="D55" s="67">
        <v>32</v>
      </c>
      <c r="E55" s="67">
        <v>55</v>
      </c>
      <c r="F55" s="67">
        <v>18</v>
      </c>
      <c r="G55" s="67">
        <v>17</v>
      </c>
      <c r="H55" s="67">
        <v>10</v>
      </c>
      <c r="I55" s="67">
        <v>10</v>
      </c>
      <c r="J55" s="156"/>
      <c r="K55" s="155"/>
      <c r="L55" s="155"/>
      <c r="M55" s="155"/>
      <c r="N55" s="155"/>
    </row>
    <row r="56" spans="1:14" s="45" customFormat="1" ht="15.75" customHeight="1">
      <c r="A56" s="72" t="s">
        <v>171</v>
      </c>
      <c r="B56" s="66"/>
      <c r="C56" s="67">
        <v>14</v>
      </c>
      <c r="D56" s="67">
        <v>14</v>
      </c>
      <c r="E56" s="67">
        <v>18</v>
      </c>
      <c r="F56" s="67"/>
      <c r="G56" s="67">
        <v>9</v>
      </c>
      <c r="H56" s="67"/>
      <c r="I56" s="67">
        <v>9</v>
      </c>
      <c r="J56" s="156"/>
      <c r="K56" s="155"/>
      <c r="L56" s="155"/>
      <c r="M56" s="155"/>
      <c r="N56" s="155"/>
    </row>
    <row r="57" spans="1:14" s="45" customFormat="1" ht="12.75" customHeight="1">
      <c r="A57" s="76" t="s">
        <v>199</v>
      </c>
      <c r="B57" s="66"/>
      <c r="C57" s="67">
        <v>10</v>
      </c>
      <c r="D57" s="67"/>
      <c r="E57" s="67"/>
      <c r="F57" s="67"/>
      <c r="G57" s="67"/>
      <c r="H57" s="67"/>
      <c r="I57" s="67"/>
      <c r="J57" s="156"/>
      <c r="K57" s="155"/>
      <c r="L57" s="155"/>
      <c r="M57" s="155"/>
      <c r="N57" s="155"/>
    </row>
    <row r="58" spans="1:14" s="45" customFormat="1" ht="13.5" customHeight="1">
      <c r="A58" s="65" t="s">
        <v>39</v>
      </c>
      <c r="B58" s="66">
        <v>1060</v>
      </c>
      <c r="C58" s="67"/>
      <c r="D58" s="67"/>
      <c r="E58" s="67"/>
      <c r="F58" s="67"/>
      <c r="G58" s="67"/>
      <c r="H58" s="67"/>
      <c r="I58" s="67"/>
      <c r="J58" s="156"/>
      <c r="K58" s="155"/>
      <c r="L58" s="155"/>
      <c r="M58" s="155"/>
      <c r="N58" s="155"/>
    </row>
    <row r="59" spans="1:14" s="45" customFormat="1" ht="13.5" customHeight="1">
      <c r="A59" s="65" t="s">
        <v>40</v>
      </c>
      <c r="B59" s="66">
        <v>1061</v>
      </c>
      <c r="C59" s="67"/>
      <c r="D59" s="67"/>
      <c r="E59" s="67"/>
      <c r="F59" s="67"/>
      <c r="G59" s="67"/>
      <c r="H59" s="67"/>
      <c r="I59" s="67"/>
      <c r="J59" s="156"/>
      <c r="K59" s="155"/>
      <c r="L59" s="155"/>
      <c r="M59" s="155"/>
      <c r="N59" s="155"/>
    </row>
    <row r="60" spans="1:14" s="45" customFormat="1" ht="11.25">
      <c r="A60" s="65" t="s">
        <v>41</v>
      </c>
      <c r="B60" s="66">
        <v>1062</v>
      </c>
      <c r="C60" s="67"/>
      <c r="D60" s="67"/>
      <c r="E60" s="67"/>
      <c r="F60" s="67"/>
      <c r="G60" s="67"/>
      <c r="H60" s="67"/>
      <c r="I60" s="67"/>
      <c r="J60" s="156"/>
      <c r="K60" s="159"/>
      <c r="L60" s="155"/>
      <c r="M60" s="155"/>
      <c r="N60" s="155"/>
    </row>
    <row r="61" spans="1:14" s="45" customFormat="1" ht="12.75" customHeight="1">
      <c r="A61" s="65" t="s">
        <v>27</v>
      </c>
      <c r="B61" s="66">
        <v>1063</v>
      </c>
      <c r="C61" s="67"/>
      <c r="D61" s="67"/>
      <c r="E61" s="67"/>
      <c r="F61" s="67"/>
      <c r="G61" s="67"/>
      <c r="H61" s="67"/>
      <c r="I61" s="67"/>
      <c r="J61" s="156"/>
      <c r="K61" s="155"/>
      <c r="L61" s="155"/>
      <c r="M61" s="155"/>
      <c r="N61" s="155"/>
    </row>
    <row r="62" spans="1:14" s="45" customFormat="1" ht="13.5" customHeight="1">
      <c r="A62" s="65" t="s">
        <v>28</v>
      </c>
      <c r="B62" s="66">
        <v>1064</v>
      </c>
      <c r="C62" s="67"/>
      <c r="D62" s="67"/>
      <c r="E62" s="67"/>
      <c r="F62" s="67"/>
      <c r="G62" s="67"/>
      <c r="H62" s="67"/>
      <c r="I62" s="67"/>
      <c r="J62" s="156"/>
      <c r="K62" s="155"/>
      <c r="L62" s="155"/>
      <c r="M62" s="155"/>
      <c r="N62" s="155"/>
    </row>
    <row r="63" spans="1:14" s="45" customFormat="1" ht="13.5" customHeight="1">
      <c r="A63" s="65" t="s">
        <v>42</v>
      </c>
      <c r="B63" s="66">
        <v>1065</v>
      </c>
      <c r="C63" s="67"/>
      <c r="D63" s="67"/>
      <c r="E63" s="67"/>
      <c r="F63" s="67"/>
      <c r="G63" s="67"/>
      <c r="H63" s="67"/>
      <c r="I63" s="67"/>
      <c r="J63" s="156"/>
      <c r="K63" s="155"/>
      <c r="L63" s="155"/>
      <c r="M63" s="155"/>
      <c r="N63" s="155"/>
    </row>
    <row r="64" spans="1:14" s="45" customFormat="1" ht="13.5" customHeight="1">
      <c r="A64" s="65" t="s">
        <v>43</v>
      </c>
      <c r="B64" s="66">
        <v>1066</v>
      </c>
      <c r="C64" s="67"/>
      <c r="D64" s="67"/>
      <c r="E64" s="67"/>
      <c r="F64" s="67"/>
      <c r="G64" s="67"/>
      <c r="H64" s="67"/>
      <c r="I64" s="67"/>
      <c r="J64" s="156"/>
      <c r="K64" s="155"/>
      <c r="L64" s="155"/>
      <c r="M64" s="155"/>
      <c r="N64" s="155"/>
    </row>
    <row r="65" spans="1:14" s="45" customFormat="1" ht="18.75" customHeight="1">
      <c r="A65" s="65" t="s">
        <v>44</v>
      </c>
      <c r="B65" s="66">
        <v>1067</v>
      </c>
      <c r="C65" s="67"/>
      <c r="D65" s="67"/>
      <c r="E65" s="67"/>
      <c r="F65" s="67"/>
      <c r="G65" s="67"/>
      <c r="H65" s="67"/>
      <c r="I65" s="67"/>
      <c r="J65" s="156"/>
      <c r="K65" s="155"/>
      <c r="L65" s="155"/>
      <c r="M65" s="155"/>
      <c r="N65" s="155"/>
    </row>
    <row r="66" spans="1:14" s="45" customFormat="1" ht="11.25">
      <c r="A66" s="65" t="s">
        <v>126</v>
      </c>
      <c r="B66" s="66">
        <v>1070</v>
      </c>
      <c r="C66" s="67">
        <f>C67+C68+C69+C70+C71+C73+C72</f>
        <v>51298</v>
      </c>
      <c r="D66" s="77">
        <f>D67+D68+D69+D70+D71+D73+D72</f>
        <v>58597</v>
      </c>
      <c r="E66" s="67">
        <f>E67+E68+E69+E70+E71+E73+E72</f>
        <v>63894</v>
      </c>
      <c r="F66" s="67">
        <f>F67+F68+F69+F70+F71+F72+F73</f>
        <v>14724</v>
      </c>
      <c r="G66" s="67">
        <f>G67+G68+G69+G70+G71+G72+G73</f>
        <v>17223</v>
      </c>
      <c r="H66" s="77">
        <f>H67+H68+H69+H70+H71+H72+H73</f>
        <v>17223</v>
      </c>
      <c r="I66" s="67">
        <f>I67+I68+I69+I70+I71+I72+I73</f>
        <v>14724</v>
      </c>
      <c r="J66" s="156"/>
      <c r="K66" s="159"/>
      <c r="L66" s="155"/>
      <c r="M66" s="155"/>
      <c r="N66" s="155"/>
    </row>
    <row r="67" spans="1:14" s="45" customFormat="1" ht="11.25">
      <c r="A67" s="65" t="s">
        <v>183</v>
      </c>
      <c r="B67" s="66"/>
      <c r="C67" s="67">
        <v>50439</v>
      </c>
      <c r="D67" s="77">
        <f>50001-1400+9199</f>
        <v>57800</v>
      </c>
      <c r="E67" s="67">
        <f>71610-3492-5000</f>
        <v>63118</v>
      </c>
      <c r="F67" s="67">
        <f>17030-2500</f>
        <v>14530</v>
      </c>
      <c r="G67" s="67">
        <v>17029</v>
      </c>
      <c r="H67" s="77">
        <v>17029</v>
      </c>
      <c r="I67" s="67">
        <f>17030-2500</f>
        <v>14530</v>
      </c>
      <c r="J67" s="156"/>
      <c r="K67" s="159"/>
      <c r="L67" s="155"/>
      <c r="M67" s="155"/>
      <c r="N67" s="155"/>
    </row>
    <row r="68" spans="1:16" s="45" customFormat="1" ht="11.25">
      <c r="A68" s="65" t="s">
        <v>184</v>
      </c>
      <c r="B68" s="66"/>
      <c r="C68" s="67">
        <v>124</v>
      </c>
      <c r="D68" s="67">
        <v>147</v>
      </c>
      <c r="E68" s="67">
        <v>129</v>
      </c>
      <c r="F68" s="67">
        <v>32</v>
      </c>
      <c r="G68" s="67">
        <v>33</v>
      </c>
      <c r="H68" s="67">
        <v>32</v>
      </c>
      <c r="I68" s="67">
        <v>32</v>
      </c>
      <c r="J68" s="156"/>
      <c r="K68" s="159"/>
      <c r="L68" s="159"/>
      <c r="M68" s="159"/>
      <c r="N68" s="159"/>
      <c r="O68" s="111"/>
      <c r="P68" s="111"/>
    </row>
    <row r="69" spans="1:14" s="45" customFormat="1" ht="11.25">
      <c r="A69" s="65" t="s">
        <v>185</v>
      </c>
      <c r="B69" s="66"/>
      <c r="C69" s="67">
        <v>135</v>
      </c>
      <c r="D69" s="67">
        <v>100</v>
      </c>
      <c r="E69" s="67">
        <v>135</v>
      </c>
      <c r="F69" s="67">
        <v>34</v>
      </c>
      <c r="G69" s="67">
        <v>34</v>
      </c>
      <c r="H69" s="67">
        <v>33</v>
      </c>
      <c r="I69" s="67">
        <v>34</v>
      </c>
      <c r="J69" s="156"/>
      <c r="K69" s="159"/>
      <c r="L69" s="155"/>
      <c r="M69" s="155"/>
      <c r="N69" s="155"/>
    </row>
    <row r="70" spans="1:14" s="45" customFormat="1" ht="11.25">
      <c r="A70" s="65" t="s">
        <v>186</v>
      </c>
      <c r="B70" s="66"/>
      <c r="C70" s="67">
        <v>3</v>
      </c>
      <c r="D70" s="67">
        <v>2</v>
      </c>
      <c r="E70" s="67">
        <v>2</v>
      </c>
      <c r="F70" s="67">
        <v>1</v>
      </c>
      <c r="G70" s="67">
        <v>0</v>
      </c>
      <c r="H70" s="67">
        <v>1</v>
      </c>
      <c r="I70" s="75">
        <v>0</v>
      </c>
      <c r="J70" s="156"/>
      <c r="K70" s="155"/>
      <c r="L70" s="155"/>
      <c r="M70" s="155"/>
      <c r="N70" s="155"/>
    </row>
    <row r="71" spans="1:15" s="45" customFormat="1" ht="32.25" customHeight="1">
      <c r="A71" s="65" t="s">
        <v>204</v>
      </c>
      <c r="B71" s="66"/>
      <c r="C71" s="67">
        <v>171</v>
      </c>
      <c r="D71" s="67">
        <v>140</v>
      </c>
      <c r="E71" s="67">
        <v>185</v>
      </c>
      <c r="F71" s="67">
        <v>46</v>
      </c>
      <c r="G71" s="67">
        <v>46</v>
      </c>
      <c r="H71" s="67">
        <v>47</v>
      </c>
      <c r="I71" s="67">
        <v>46</v>
      </c>
      <c r="J71" s="156"/>
      <c r="K71" s="159"/>
      <c r="L71" s="159"/>
      <c r="M71" s="159"/>
      <c r="N71" s="159"/>
      <c r="O71" s="111"/>
    </row>
    <row r="72" spans="1:14" s="45" customFormat="1" ht="22.5" customHeight="1">
      <c r="A72" s="65" t="s">
        <v>218</v>
      </c>
      <c r="B72" s="66"/>
      <c r="C72" s="77">
        <v>426</v>
      </c>
      <c r="D72" s="67">
        <v>137</v>
      </c>
      <c r="E72" s="67">
        <v>145</v>
      </c>
      <c r="F72" s="67">
        <v>36</v>
      </c>
      <c r="G72" s="67">
        <v>36</v>
      </c>
      <c r="H72" s="67">
        <v>36</v>
      </c>
      <c r="I72" s="67">
        <v>37</v>
      </c>
      <c r="J72" s="156"/>
      <c r="K72" s="159"/>
      <c r="L72" s="155"/>
      <c r="M72" s="155"/>
      <c r="N72" s="155"/>
    </row>
    <row r="73" spans="1:14" s="45" customFormat="1" ht="11.25">
      <c r="A73" s="65" t="s">
        <v>187</v>
      </c>
      <c r="B73" s="66"/>
      <c r="C73" s="77"/>
      <c r="D73" s="67">
        <v>271</v>
      </c>
      <c r="E73" s="67">
        <v>180</v>
      </c>
      <c r="F73" s="67">
        <v>45</v>
      </c>
      <c r="G73" s="67">
        <v>45</v>
      </c>
      <c r="H73" s="67">
        <v>45</v>
      </c>
      <c r="I73" s="67">
        <v>45</v>
      </c>
      <c r="J73" s="156"/>
      <c r="K73" s="159"/>
      <c r="L73" s="155"/>
      <c r="M73" s="155"/>
      <c r="N73" s="155"/>
    </row>
    <row r="74" spans="1:14" s="45" customFormat="1" ht="11.25">
      <c r="A74" s="78" t="s">
        <v>45</v>
      </c>
      <c r="B74" s="66">
        <v>1080</v>
      </c>
      <c r="C74" s="69">
        <f aca="true" t="shared" si="1" ref="C74:I74">C75+C76+C77+C78+C79+C80+C81+C82</f>
        <v>51265</v>
      </c>
      <c r="D74" s="69">
        <f t="shared" si="1"/>
        <v>59244</v>
      </c>
      <c r="E74" s="69">
        <f t="shared" si="1"/>
        <v>65691</v>
      </c>
      <c r="F74" s="69">
        <f t="shared" si="1"/>
        <v>15003</v>
      </c>
      <c r="G74" s="69">
        <f t="shared" si="1"/>
        <v>17824</v>
      </c>
      <c r="H74" s="69">
        <f t="shared" si="1"/>
        <v>17842</v>
      </c>
      <c r="I74" s="69">
        <f t="shared" si="1"/>
        <v>15022</v>
      </c>
      <c r="J74" s="156"/>
      <c r="K74" s="159"/>
      <c r="L74" s="155"/>
      <c r="M74" s="159"/>
      <c r="N74" s="155"/>
    </row>
    <row r="75" spans="1:14" s="45" customFormat="1" ht="11.25">
      <c r="A75" s="65" t="s">
        <v>11</v>
      </c>
      <c r="B75" s="66"/>
      <c r="C75" s="67">
        <v>3765</v>
      </c>
      <c r="D75" s="77">
        <f>4046-D55-D54-26-500+82-1400+785+30</f>
        <v>2937</v>
      </c>
      <c r="E75" s="67">
        <f>7499-3492+37</f>
        <v>4044</v>
      </c>
      <c r="F75" s="67">
        <v>1011</v>
      </c>
      <c r="G75" s="67">
        <v>1011</v>
      </c>
      <c r="H75" s="77">
        <v>1011</v>
      </c>
      <c r="I75" s="67">
        <v>1011</v>
      </c>
      <c r="J75" s="156"/>
      <c r="K75" s="159"/>
      <c r="L75" s="159"/>
      <c r="M75" s="159"/>
      <c r="N75" s="155"/>
    </row>
    <row r="76" spans="1:14" s="45" customFormat="1" ht="11.25">
      <c r="A76" s="65" t="s">
        <v>12</v>
      </c>
      <c r="B76" s="66"/>
      <c r="C76" s="67">
        <v>2263</v>
      </c>
      <c r="D76" s="77">
        <f>2628-D21+156+200</f>
        <v>2974</v>
      </c>
      <c r="E76" s="67">
        <f>5079+200</f>
        <v>5279</v>
      </c>
      <c r="F76" s="67">
        <v>1320</v>
      </c>
      <c r="G76" s="67">
        <v>1320</v>
      </c>
      <c r="H76" s="77">
        <v>1320</v>
      </c>
      <c r="I76" s="67">
        <v>1319</v>
      </c>
      <c r="J76" s="156"/>
      <c r="K76" s="159"/>
      <c r="L76" s="159"/>
      <c r="M76" s="159"/>
      <c r="N76" s="155"/>
    </row>
    <row r="77" spans="1:14" s="45" customFormat="1" ht="11.25">
      <c r="A77" s="65" t="s">
        <v>13</v>
      </c>
      <c r="B77" s="66"/>
      <c r="C77" s="67">
        <v>2024</v>
      </c>
      <c r="D77" s="67">
        <f>4234-D53</f>
        <v>4218</v>
      </c>
      <c r="E77" s="67">
        <f>4360+50</f>
        <v>4410</v>
      </c>
      <c r="F77" s="67">
        <v>1102</v>
      </c>
      <c r="G77" s="67">
        <v>1103</v>
      </c>
      <c r="H77" s="67">
        <v>1102</v>
      </c>
      <c r="I77" s="67">
        <v>1103</v>
      </c>
      <c r="J77" s="156"/>
      <c r="K77" s="159"/>
      <c r="L77" s="159"/>
      <c r="M77" s="159"/>
      <c r="N77" s="155"/>
    </row>
    <row r="78" spans="1:14" s="45" customFormat="1" ht="11.25">
      <c r="A78" s="65" t="s">
        <v>14</v>
      </c>
      <c r="B78" s="66"/>
      <c r="C78" s="67">
        <v>20534</v>
      </c>
      <c r="D78" s="67">
        <f>25929-D28+173</f>
        <v>22206</v>
      </c>
      <c r="E78" s="67">
        <f>F78+G78+H78+I78</f>
        <v>25065</v>
      </c>
      <c r="F78" s="67">
        <f>6297+500-31</f>
        <v>6766</v>
      </c>
      <c r="G78" s="67">
        <f>6296-500-30</f>
        <v>5766</v>
      </c>
      <c r="H78" s="67">
        <f>6297-500-30</f>
        <v>5767</v>
      </c>
      <c r="I78" s="67">
        <f>6297+500-31</f>
        <v>6766</v>
      </c>
      <c r="J78" s="156"/>
      <c r="K78" s="159"/>
      <c r="L78" s="155"/>
      <c r="M78" s="155"/>
      <c r="N78" s="155"/>
    </row>
    <row r="79" spans="1:15" s="45" customFormat="1" ht="11.25">
      <c r="A79" s="65" t="s">
        <v>15</v>
      </c>
      <c r="B79" s="66"/>
      <c r="C79" s="67">
        <v>4499</v>
      </c>
      <c r="D79" s="67">
        <f>5704-D29+38</f>
        <v>4885</v>
      </c>
      <c r="E79" s="67">
        <f>F79+G79+H79+I79</f>
        <v>5514</v>
      </c>
      <c r="F79" s="67">
        <f>1495-7</f>
        <v>1488</v>
      </c>
      <c r="G79" s="67">
        <f>1275-7</f>
        <v>1268</v>
      </c>
      <c r="H79" s="67">
        <f>1275-6</f>
        <v>1269</v>
      </c>
      <c r="I79" s="67">
        <f>1496-7</f>
        <v>1489</v>
      </c>
      <c r="J79" s="156"/>
      <c r="K79" s="159"/>
      <c r="L79" s="159"/>
      <c r="M79" s="159"/>
      <c r="N79" s="159"/>
      <c r="O79" s="111"/>
    </row>
    <row r="80" spans="1:16" s="45" customFormat="1" ht="31.5">
      <c r="A80" s="65" t="s">
        <v>200</v>
      </c>
      <c r="B80" s="66"/>
      <c r="C80" s="67">
        <v>10096</v>
      </c>
      <c r="D80" s="77">
        <f>6920-60+206+7964</f>
        <v>15030</v>
      </c>
      <c r="E80" s="67">
        <f>17549-114+19-5000</f>
        <v>12454</v>
      </c>
      <c r="F80" s="67">
        <f>4363-778-4+3-2500</f>
        <v>1084</v>
      </c>
      <c r="G80" s="67">
        <f>4364+778-17</f>
        <v>5125</v>
      </c>
      <c r="H80" s="77">
        <f>4364+16+757+5</f>
        <v>5142</v>
      </c>
      <c r="I80" s="67">
        <f>4363-757-4+1-2500</f>
        <v>1103</v>
      </c>
      <c r="J80" s="156"/>
      <c r="K80" s="159"/>
      <c r="L80" s="159"/>
      <c r="M80" s="159"/>
      <c r="N80" s="159"/>
      <c r="O80" s="111"/>
      <c r="P80" s="111"/>
    </row>
    <row r="81" spans="1:14" s="45" customFormat="1" ht="15.75" customHeight="1">
      <c r="A81" s="65" t="s">
        <v>17</v>
      </c>
      <c r="B81" s="66"/>
      <c r="C81" s="67">
        <v>6974</v>
      </c>
      <c r="D81" s="67">
        <f>5800-D30</f>
        <v>5775</v>
      </c>
      <c r="E81" s="67">
        <f>7650-E30</f>
        <v>7625</v>
      </c>
      <c r="F81" s="67">
        <v>1907</v>
      </c>
      <c r="G81" s="67">
        <v>1906</v>
      </c>
      <c r="H81" s="67">
        <v>1906</v>
      </c>
      <c r="I81" s="67">
        <v>1906</v>
      </c>
      <c r="J81" s="156"/>
      <c r="K81" s="159"/>
      <c r="L81" s="159"/>
      <c r="M81" s="155"/>
      <c r="N81" s="155"/>
    </row>
    <row r="82" spans="1:18" s="45" customFormat="1" ht="11.25">
      <c r="A82" s="65" t="s">
        <v>194</v>
      </c>
      <c r="B82" s="68"/>
      <c r="C82" s="69">
        <v>1110</v>
      </c>
      <c r="D82" s="77">
        <f>998+1+27+157+36</f>
        <v>1219</v>
      </c>
      <c r="E82" s="67">
        <f>1508-E42+80</f>
        <v>1300</v>
      </c>
      <c r="F82" s="67">
        <v>325</v>
      </c>
      <c r="G82" s="67">
        <v>325</v>
      </c>
      <c r="H82" s="77">
        <v>325</v>
      </c>
      <c r="I82" s="67">
        <v>325</v>
      </c>
      <c r="J82" s="156"/>
      <c r="K82" s="155"/>
      <c r="L82" s="159"/>
      <c r="M82" s="159"/>
      <c r="N82" s="155"/>
      <c r="O82" s="114"/>
      <c r="R82" s="114"/>
    </row>
    <row r="83" spans="1:14" s="45" customFormat="1" ht="11.25">
      <c r="A83" s="104" t="s">
        <v>46</v>
      </c>
      <c r="B83" s="68">
        <v>1100</v>
      </c>
      <c r="C83" s="69"/>
      <c r="D83" s="69"/>
      <c r="E83" s="69"/>
      <c r="F83" s="69"/>
      <c r="G83" s="69"/>
      <c r="H83" s="69"/>
      <c r="I83" s="69"/>
      <c r="J83" s="156"/>
      <c r="K83" s="159"/>
      <c r="L83" s="159"/>
      <c r="M83" s="159"/>
      <c r="N83" s="159"/>
    </row>
    <row r="84" spans="1:14" s="45" customFormat="1" ht="11.25">
      <c r="A84" s="65" t="s">
        <v>47</v>
      </c>
      <c r="B84" s="66">
        <v>1110</v>
      </c>
      <c r="C84" s="67"/>
      <c r="D84" s="67"/>
      <c r="E84" s="67"/>
      <c r="F84" s="67"/>
      <c r="G84" s="67"/>
      <c r="H84" s="67"/>
      <c r="I84" s="67"/>
      <c r="J84" s="156"/>
      <c r="K84" s="155"/>
      <c r="L84" s="155"/>
      <c r="M84" s="155"/>
      <c r="N84" s="155"/>
    </row>
    <row r="85" spans="1:14" s="45" customFormat="1" ht="16.5" customHeight="1">
      <c r="A85" s="65" t="s">
        <v>48</v>
      </c>
      <c r="B85" s="66">
        <v>1120</v>
      </c>
      <c r="C85" s="67"/>
      <c r="D85" s="67"/>
      <c r="E85" s="67"/>
      <c r="F85" s="67"/>
      <c r="G85" s="67"/>
      <c r="H85" s="67"/>
      <c r="I85" s="67"/>
      <c r="J85" s="156"/>
      <c r="K85" s="155"/>
      <c r="L85" s="155"/>
      <c r="M85" s="155"/>
      <c r="N85" s="155"/>
    </row>
    <row r="86" spans="1:14" s="45" customFormat="1" ht="11.25">
      <c r="A86" s="65" t="s">
        <v>49</v>
      </c>
      <c r="B86" s="66">
        <v>1130</v>
      </c>
      <c r="C86" s="67"/>
      <c r="D86" s="67"/>
      <c r="E86" s="67"/>
      <c r="F86" s="67"/>
      <c r="G86" s="67"/>
      <c r="H86" s="67"/>
      <c r="I86" s="67"/>
      <c r="J86" s="156"/>
      <c r="K86" s="155"/>
      <c r="L86" s="155"/>
      <c r="M86" s="155"/>
      <c r="N86" s="155"/>
    </row>
    <row r="87" spans="1:14" s="45" customFormat="1" ht="15.75" customHeight="1">
      <c r="A87" s="65" t="s">
        <v>50</v>
      </c>
      <c r="B87" s="66">
        <v>1140</v>
      </c>
      <c r="C87" s="67"/>
      <c r="D87" s="67"/>
      <c r="E87" s="67"/>
      <c r="F87" s="67"/>
      <c r="G87" s="67"/>
      <c r="H87" s="67"/>
      <c r="I87" s="67"/>
      <c r="J87" s="156"/>
      <c r="K87" s="155"/>
      <c r="L87" s="155"/>
      <c r="M87" s="155"/>
      <c r="N87" s="155"/>
    </row>
    <row r="88" spans="1:14" s="45" customFormat="1" ht="11.25">
      <c r="A88" s="65" t="s">
        <v>153</v>
      </c>
      <c r="B88" s="66">
        <v>1150</v>
      </c>
      <c r="C88" s="67">
        <f aca="true" t="shared" si="2" ref="C88:I88">C89+C90</f>
        <v>5174</v>
      </c>
      <c r="D88" s="67">
        <f t="shared" si="2"/>
        <v>5810</v>
      </c>
      <c r="E88" s="67">
        <f t="shared" si="2"/>
        <v>7655</v>
      </c>
      <c r="F88" s="67">
        <f t="shared" si="2"/>
        <v>1915</v>
      </c>
      <c r="G88" s="67">
        <f t="shared" si="2"/>
        <v>1913</v>
      </c>
      <c r="H88" s="67">
        <f t="shared" si="2"/>
        <v>1913</v>
      </c>
      <c r="I88" s="67">
        <f t="shared" si="2"/>
        <v>1914</v>
      </c>
      <c r="J88" s="156"/>
      <c r="K88" s="155"/>
      <c r="L88" s="159"/>
      <c r="M88" s="155"/>
      <c r="N88" s="155"/>
    </row>
    <row r="89" spans="1:14" s="45" customFormat="1" ht="14.25" customHeight="1">
      <c r="A89" s="65" t="s">
        <v>193</v>
      </c>
      <c r="B89" s="66"/>
      <c r="C89" s="67">
        <v>5154</v>
      </c>
      <c r="D89" s="67">
        <v>5800</v>
      </c>
      <c r="E89" s="67">
        <v>7650</v>
      </c>
      <c r="F89" s="67">
        <v>1913</v>
      </c>
      <c r="G89" s="67">
        <v>1912</v>
      </c>
      <c r="H89" s="67">
        <v>1912</v>
      </c>
      <c r="I89" s="67">
        <v>1913</v>
      </c>
      <c r="J89" s="156"/>
      <c r="K89" s="159"/>
      <c r="L89" s="159"/>
      <c r="M89" s="155"/>
      <c r="N89" s="155"/>
    </row>
    <row r="90" spans="1:14" s="45" customFormat="1" ht="14.25" customHeight="1">
      <c r="A90" s="65" t="s">
        <v>205</v>
      </c>
      <c r="B90" s="66"/>
      <c r="C90" s="67">
        <v>20</v>
      </c>
      <c r="D90" s="67">
        <v>10</v>
      </c>
      <c r="E90" s="67">
        <v>5</v>
      </c>
      <c r="F90" s="67">
        <v>2</v>
      </c>
      <c r="G90" s="67">
        <v>1</v>
      </c>
      <c r="H90" s="67">
        <v>1</v>
      </c>
      <c r="I90" s="67">
        <v>1</v>
      </c>
      <c r="J90" s="156"/>
      <c r="K90" s="155"/>
      <c r="L90" s="155"/>
      <c r="M90" s="155"/>
      <c r="N90" s="155"/>
    </row>
    <row r="91" spans="1:14" s="45" customFormat="1" ht="11.25">
      <c r="A91" s="65" t="s">
        <v>18</v>
      </c>
      <c r="B91" s="66">
        <v>1160</v>
      </c>
      <c r="C91" s="67"/>
      <c r="D91" s="67"/>
      <c r="E91" s="67"/>
      <c r="F91" s="67"/>
      <c r="G91" s="67"/>
      <c r="H91" s="67"/>
      <c r="I91" s="67"/>
      <c r="J91" s="156"/>
      <c r="K91" s="159"/>
      <c r="L91" s="159"/>
      <c r="M91" s="159"/>
      <c r="N91" s="159"/>
    </row>
    <row r="92" spans="1:14" s="45" customFormat="1" ht="15" customHeight="1">
      <c r="A92" s="104" t="s">
        <v>51</v>
      </c>
      <c r="B92" s="68">
        <v>1170</v>
      </c>
      <c r="C92" s="69">
        <f aca="true" t="shared" si="3" ref="C92:I92">C88+C66-C74-C20</f>
        <v>217</v>
      </c>
      <c r="D92" s="69">
        <f>D88+D66-D74-D20</f>
        <v>151</v>
      </c>
      <c r="E92" s="69">
        <f t="shared" si="3"/>
        <v>151</v>
      </c>
      <c r="F92" s="67">
        <f t="shared" si="3"/>
        <v>38</v>
      </c>
      <c r="G92" s="67">
        <f t="shared" si="3"/>
        <v>38</v>
      </c>
      <c r="H92" s="67">
        <f>H88+H66-H74-H20</f>
        <v>37</v>
      </c>
      <c r="I92" s="67">
        <f t="shared" si="3"/>
        <v>38</v>
      </c>
      <c r="J92" s="156"/>
      <c r="K92" s="155"/>
      <c r="L92" s="155"/>
      <c r="M92" s="159"/>
      <c r="N92" s="155"/>
    </row>
    <row r="93" spans="1:14" s="45" customFormat="1" ht="16.5" customHeight="1">
      <c r="A93" s="65" t="s">
        <v>52</v>
      </c>
      <c r="B93" s="107">
        <v>1180</v>
      </c>
      <c r="C93" s="67">
        <v>39</v>
      </c>
      <c r="D93" s="67">
        <f>D92*18%</f>
        <v>27.18</v>
      </c>
      <c r="E93" s="67">
        <f>E92*18%</f>
        <v>27.18</v>
      </c>
      <c r="F93" s="67">
        <v>7</v>
      </c>
      <c r="G93" s="67">
        <v>7</v>
      </c>
      <c r="H93" s="67">
        <v>6</v>
      </c>
      <c r="I93" s="67">
        <v>7</v>
      </c>
      <c r="J93" s="156"/>
      <c r="K93" s="159"/>
      <c r="L93" s="159"/>
      <c r="M93" s="159"/>
      <c r="N93" s="159"/>
    </row>
    <row r="94" spans="1:14" s="45" customFormat="1" ht="11.25">
      <c r="A94" s="65" t="s">
        <v>53</v>
      </c>
      <c r="B94" s="107">
        <v>1181</v>
      </c>
      <c r="C94" s="67"/>
      <c r="D94" s="67"/>
      <c r="E94" s="67"/>
      <c r="F94" s="67"/>
      <c r="G94" s="67"/>
      <c r="H94" s="67"/>
      <c r="I94" s="67"/>
      <c r="J94" s="156"/>
      <c r="K94" s="155"/>
      <c r="L94" s="155"/>
      <c r="M94" s="155"/>
      <c r="N94" s="155"/>
    </row>
    <row r="95" spans="1:14" s="45" customFormat="1" ht="12.75" customHeight="1">
      <c r="A95" s="104" t="s">
        <v>54</v>
      </c>
      <c r="B95" s="68">
        <v>1200</v>
      </c>
      <c r="C95" s="67">
        <f aca="true" t="shared" si="4" ref="C95:I95">C92-C93</f>
        <v>178</v>
      </c>
      <c r="D95" s="67">
        <f>D92-D93</f>
        <v>123.82</v>
      </c>
      <c r="E95" s="67">
        <f>E92-E93</f>
        <v>123.82</v>
      </c>
      <c r="F95" s="67">
        <f t="shared" si="4"/>
        <v>31</v>
      </c>
      <c r="G95" s="67">
        <f t="shared" si="4"/>
        <v>31</v>
      </c>
      <c r="H95" s="67">
        <f t="shared" si="4"/>
        <v>31</v>
      </c>
      <c r="I95" s="67">
        <f t="shared" si="4"/>
        <v>31</v>
      </c>
      <c r="J95" s="156"/>
      <c r="K95" s="155"/>
      <c r="L95" s="155"/>
      <c r="M95" s="155"/>
      <c r="N95" s="155"/>
    </row>
    <row r="96" spans="1:14" s="45" customFormat="1" ht="11.25">
      <c r="A96" s="65" t="s">
        <v>55</v>
      </c>
      <c r="B96" s="106">
        <v>1201</v>
      </c>
      <c r="C96" s="67"/>
      <c r="D96" s="67"/>
      <c r="E96" s="67"/>
      <c r="F96" s="67"/>
      <c r="G96" s="67"/>
      <c r="H96" s="67"/>
      <c r="I96" s="67"/>
      <c r="J96" s="156"/>
      <c r="K96" s="155"/>
      <c r="L96" s="155"/>
      <c r="M96" s="155"/>
      <c r="N96" s="155"/>
    </row>
    <row r="97" spans="1:14" s="45" customFormat="1" ht="11.25">
      <c r="A97" s="65" t="s">
        <v>56</v>
      </c>
      <c r="B97" s="106">
        <v>1202</v>
      </c>
      <c r="C97" s="67"/>
      <c r="D97" s="67"/>
      <c r="E97" s="67"/>
      <c r="F97" s="67"/>
      <c r="G97" s="67"/>
      <c r="H97" s="67"/>
      <c r="I97" s="67"/>
      <c r="J97" s="156"/>
      <c r="K97" s="155"/>
      <c r="L97" s="155"/>
      <c r="M97" s="155"/>
      <c r="N97" s="155"/>
    </row>
    <row r="98" spans="1:15" s="45" customFormat="1" ht="11.25">
      <c r="A98" s="104" t="s">
        <v>57</v>
      </c>
      <c r="B98" s="66">
        <v>1210</v>
      </c>
      <c r="C98" s="69">
        <f aca="true" t="shared" si="5" ref="C98:I98">C88+C66</f>
        <v>56472</v>
      </c>
      <c r="D98" s="69">
        <f>D88+D66</f>
        <v>64407</v>
      </c>
      <c r="E98" s="69">
        <f t="shared" si="5"/>
        <v>71549</v>
      </c>
      <c r="F98" s="69">
        <f t="shared" si="5"/>
        <v>16639</v>
      </c>
      <c r="G98" s="69">
        <f t="shared" si="5"/>
        <v>19136</v>
      </c>
      <c r="H98" s="69">
        <f t="shared" si="5"/>
        <v>19136</v>
      </c>
      <c r="I98" s="69">
        <f t="shared" si="5"/>
        <v>16638</v>
      </c>
      <c r="J98" s="156"/>
      <c r="K98" s="159"/>
      <c r="L98" s="159"/>
      <c r="M98" s="159"/>
      <c r="N98" s="159"/>
      <c r="O98" s="111"/>
    </row>
    <row r="99" spans="1:15" s="45" customFormat="1" ht="11.25">
      <c r="A99" s="104" t="s">
        <v>58</v>
      </c>
      <c r="B99" s="66">
        <v>1220</v>
      </c>
      <c r="C99" s="69">
        <f aca="true" t="shared" si="6" ref="C99:I99">C74+C20</f>
        <v>56255</v>
      </c>
      <c r="D99" s="69">
        <f>D74+D20</f>
        <v>64256</v>
      </c>
      <c r="E99" s="69">
        <f>E74+E20</f>
        <v>71398</v>
      </c>
      <c r="F99" s="69">
        <f t="shared" si="6"/>
        <v>16601</v>
      </c>
      <c r="G99" s="69">
        <f t="shared" si="6"/>
        <v>19098</v>
      </c>
      <c r="H99" s="69">
        <f t="shared" si="6"/>
        <v>19099</v>
      </c>
      <c r="I99" s="69">
        <f t="shared" si="6"/>
        <v>16600</v>
      </c>
      <c r="J99" s="156"/>
      <c r="K99" s="159"/>
      <c r="L99" s="159"/>
      <c r="M99" s="159"/>
      <c r="N99" s="159"/>
      <c r="O99" s="111"/>
    </row>
    <row r="100" spans="1:15" s="45" customFormat="1" ht="12" customHeight="1">
      <c r="A100" s="190" t="s">
        <v>154</v>
      </c>
      <c r="B100" s="190"/>
      <c r="C100" s="190"/>
      <c r="D100" s="190"/>
      <c r="E100" s="190"/>
      <c r="F100" s="190"/>
      <c r="G100" s="190"/>
      <c r="H100" s="190"/>
      <c r="I100" s="190"/>
      <c r="J100" s="156"/>
      <c r="K100" s="155"/>
      <c r="L100" s="159"/>
      <c r="M100" s="159"/>
      <c r="N100" s="159"/>
      <c r="O100" s="111"/>
    </row>
    <row r="101" spans="1:14" s="45" customFormat="1" ht="11.25">
      <c r="A101" s="79" t="s">
        <v>155</v>
      </c>
      <c r="B101" s="66">
        <v>1300</v>
      </c>
      <c r="C101" s="67">
        <f aca="true" t="shared" si="7" ref="C101:I101">C102+C103</f>
        <v>18356</v>
      </c>
      <c r="D101" s="77">
        <f>D102+D103</f>
        <v>25244</v>
      </c>
      <c r="E101" s="67">
        <f>E102+E103</f>
        <v>26343</v>
      </c>
      <c r="F101" s="67">
        <f>F102+F103</f>
        <v>4583</v>
      </c>
      <c r="G101" s="67">
        <f t="shared" si="7"/>
        <v>8576</v>
      </c>
      <c r="H101" s="77">
        <f t="shared" si="7"/>
        <v>8592</v>
      </c>
      <c r="I101" s="67">
        <f t="shared" si="7"/>
        <v>4592</v>
      </c>
      <c r="J101" s="156"/>
      <c r="K101" s="155"/>
      <c r="L101" s="159"/>
      <c r="M101" s="155"/>
      <c r="N101" s="155"/>
    </row>
    <row r="102" spans="1:14" s="45" customFormat="1" ht="21">
      <c r="A102" s="65" t="s">
        <v>201</v>
      </c>
      <c r="B102" s="80">
        <v>1301</v>
      </c>
      <c r="C102" s="67">
        <v>14033</v>
      </c>
      <c r="D102" s="77">
        <f>10647-1400+8979-200</f>
        <v>18026</v>
      </c>
      <c r="E102" s="67">
        <f>21620-5000</f>
        <v>16620</v>
      </c>
      <c r="F102" s="67">
        <f>4652-2500</f>
        <v>2152</v>
      </c>
      <c r="G102" s="67">
        <v>6145</v>
      </c>
      <c r="H102" s="77">
        <v>6162</v>
      </c>
      <c r="I102" s="67">
        <f>4661-2500</f>
        <v>2161</v>
      </c>
      <c r="J102" s="156"/>
      <c r="K102" s="159"/>
      <c r="L102" s="159"/>
      <c r="M102" s="159"/>
      <c r="N102" s="159"/>
    </row>
    <row r="103" spans="1:15" s="45" customFormat="1" ht="11.25">
      <c r="A103" s="65" t="s">
        <v>156</v>
      </c>
      <c r="B103" s="80">
        <v>1302</v>
      </c>
      <c r="C103" s="67">
        <v>4323</v>
      </c>
      <c r="D103" s="77">
        <f>D77+D76+D53+D21</f>
        <v>7218</v>
      </c>
      <c r="E103" s="67">
        <f>E77+E76+E53+E21</f>
        <v>9723</v>
      </c>
      <c r="F103" s="67">
        <f>F76+F77+F53+F21</f>
        <v>2431</v>
      </c>
      <c r="G103" s="67">
        <f>G76+G77+G53+G21</f>
        <v>2431</v>
      </c>
      <c r="H103" s="77">
        <f>H76+H77+H53+H21</f>
        <v>2430</v>
      </c>
      <c r="I103" s="67">
        <f>I76+I77+I53+I21</f>
        <v>2431</v>
      </c>
      <c r="J103" s="156"/>
      <c r="K103" s="159">
        <f>E78+E28</f>
        <v>29386</v>
      </c>
      <c r="L103" s="159"/>
      <c r="M103" s="159"/>
      <c r="N103" s="159"/>
      <c r="O103" s="111"/>
    </row>
    <row r="104" spans="1:14" s="45" customFormat="1" ht="11.25">
      <c r="A104" s="65" t="s">
        <v>14</v>
      </c>
      <c r="B104" s="81">
        <v>1310</v>
      </c>
      <c r="C104" s="67">
        <v>24433</v>
      </c>
      <c r="D104" s="67">
        <f>D78+D28</f>
        <v>26102</v>
      </c>
      <c r="E104" s="67">
        <f>E78+E28</f>
        <v>29386</v>
      </c>
      <c r="F104" s="67">
        <f aca="true" t="shared" si="8" ref="F104:I105">F78+F28</f>
        <v>7947</v>
      </c>
      <c r="G104" s="67">
        <f t="shared" si="8"/>
        <v>6746</v>
      </c>
      <c r="H104" s="67">
        <f t="shared" si="8"/>
        <v>6746</v>
      </c>
      <c r="I104" s="67">
        <f t="shared" si="8"/>
        <v>7947</v>
      </c>
      <c r="J104" s="156"/>
      <c r="K104" s="159">
        <v>29386</v>
      </c>
      <c r="L104" s="159">
        <f>E104-K104</f>
        <v>0</v>
      </c>
      <c r="M104" s="155"/>
      <c r="N104" s="155"/>
    </row>
    <row r="105" spans="1:14" s="45" customFormat="1" ht="11.25">
      <c r="A105" s="65" t="s">
        <v>15</v>
      </c>
      <c r="B105" s="81">
        <v>1320</v>
      </c>
      <c r="C105" s="67">
        <v>5357</v>
      </c>
      <c r="D105" s="67">
        <f>D79+D29</f>
        <v>5742</v>
      </c>
      <c r="E105" s="67">
        <f>E79+E29</f>
        <v>6465</v>
      </c>
      <c r="F105" s="67">
        <f>F79+F29</f>
        <v>1748</v>
      </c>
      <c r="G105" s="67">
        <f t="shared" si="8"/>
        <v>1484</v>
      </c>
      <c r="H105" s="67">
        <f t="shared" si="8"/>
        <v>1484</v>
      </c>
      <c r="I105" s="67">
        <f t="shared" si="8"/>
        <v>1749</v>
      </c>
      <c r="J105" s="156"/>
      <c r="K105" s="159"/>
      <c r="L105" s="159"/>
      <c r="M105" s="155"/>
      <c r="N105" s="155"/>
    </row>
    <row r="106" spans="1:14" s="45" customFormat="1" ht="11.25">
      <c r="A106" s="65" t="s">
        <v>157</v>
      </c>
      <c r="B106" s="81">
        <v>1330</v>
      </c>
      <c r="C106" s="67">
        <v>6999</v>
      </c>
      <c r="D106" s="67">
        <f aca="true" t="shared" si="9" ref="D106:I106">D81+D30</f>
        <v>5800</v>
      </c>
      <c r="E106" s="67">
        <f t="shared" si="9"/>
        <v>7650</v>
      </c>
      <c r="F106" s="67">
        <f t="shared" si="9"/>
        <v>1913</v>
      </c>
      <c r="G106" s="67">
        <f t="shared" si="9"/>
        <v>1912</v>
      </c>
      <c r="H106" s="67">
        <f t="shared" si="9"/>
        <v>1912</v>
      </c>
      <c r="I106" s="67">
        <f t="shared" si="9"/>
        <v>1913</v>
      </c>
      <c r="J106" s="156"/>
      <c r="K106" s="159"/>
      <c r="L106" s="159"/>
      <c r="M106" s="155"/>
      <c r="N106" s="155"/>
    </row>
    <row r="107" spans="1:15" s="45" customFormat="1" ht="11.25">
      <c r="A107" s="65" t="s">
        <v>158</v>
      </c>
      <c r="B107" s="81">
        <v>1340</v>
      </c>
      <c r="C107" s="82">
        <v>1110</v>
      </c>
      <c r="D107" s="67">
        <f aca="true" t="shared" si="10" ref="D107:I107">D82+D42-D53</f>
        <v>1368</v>
      </c>
      <c r="E107" s="67">
        <f>E82+E42-E53</f>
        <v>1554</v>
      </c>
      <c r="F107" s="67">
        <f t="shared" si="10"/>
        <v>410</v>
      </c>
      <c r="G107" s="67">
        <f t="shared" si="10"/>
        <v>380</v>
      </c>
      <c r="H107" s="67">
        <f t="shared" si="10"/>
        <v>365</v>
      </c>
      <c r="I107" s="67">
        <f t="shared" si="10"/>
        <v>399</v>
      </c>
      <c r="J107" s="156"/>
      <c r="K107" s="159"/>
      <c r="L107" s="159"/>
      <c r="M107" s="159"/>
      <c r="N107" s="159"/>
      <c r="O107" s="111"/>
    </row>
    <row r="108" spans="1:14" s="45" customFormat="1" ht="11.25">
      <c r="A108" s="104" t="s">
        <v>159</v>
      </c>
      <c r="B108" s="83">
        <v>1350</v>
      </c>
      <c r="C108" s="84">
        <f aca="true" t="shared" si="11" ref="C108:I108">C101+C104+C105+C106+C107</f>
        <v>56255</v>
      </c>
      <c r="D108" s="85">
        <f>D101+D104+D105+D106+D107</f>
        <v>64256</v>
      </c>
      <c r="E108" s="84">
        <f>E101+E104+E105+E106+E107</f>
        <v>71398</v>
      </c>
      <c r="F108" s="84">
        <f>F101+F104+F105+F106+F107</f>
        <v>16601</v>
      </c>
      <c r="G108" s="84">
        <f t="shared" si="11"/>
        <v>19098</v>
      </c>
      <c r="H108" s="85">
        <f t="shared" si="11"/>
        <v>19099</v>
      </c>
      <c r="I108" s="84">
        <f t="shared" si="11"/>
        <v>16600</v>
      </c>
      <c r="J108" s="156"/>
      <c r="K108" s="155"/>
      <c r="L108" s="155"/>
      <c r="M108" s="155"/>
      <c r="N108" s="155"/>
    </row>
    <row r="109" spans="1:10" ht="1.5" customHeight="1">
      <c r="A109" s="33"/>
      <c r="B109" s="33"/>
      <c r="C109" s="38"/>
      <c r="D109" s="38"/>
      <c r="E109" s="38"/>
      <c r="F109" s="33"/>
      <c r="G109" s="33"/>
      <c r="H109" s="33"/>
      <c r="I109" s="33"/>
      <c r="J109" s="160"/>
    </row>
    <row r="110" spans="1:9" ht="15">
      <c r="A110" s="191" t="s">
        <v>243</v>
      </c>
      <c r="B110" s="192"/>
      <c r="C110" s="188"/>
      <c r="D110" s="189"/>
      <c r="E110" s="193" t="s">
        <v>197</v>
      </c>
      <c r="F110" s="194"/>
      <c r="G110" s="194"/>
      <c r="H110" s="194"/>
      <c r="I110" s="194"/>
    </row>
    <row r="111" spans="1:9" ht="15">
      <c r="A111" s="33" t="s">
        <v>190</v>
      </c>
      <c r="B111" s="33"/>
      <c r="C111" s="188" t="s">
        <v>85</v>
      </c>
      <c r="D111" s="189"/>
      <c r="E111" s="195" t="s">
        <v>198</v>
      </c>
      <c r="F111" s="196"/>
      <c r="G111" s="196"/>
      <c r="H111" s="196"/>
      <c r="I111" s="196"/>
    </row>
    <row r="112" spans="1:9" ht="15">
      <c r="A112" s="33"/>
      <c r="B112" s="33"/>
      <c r="C112" s="33"/>
      <c r="D112" s="33"/>
      <c r="E112" s="33"/>
      <c r="F112" s="111"/>
      <c r="G112" s="111"/>
      <c r="H112" s="111"/>
      <c r="I112" s="111"/>
    </row>
    <row r="113" spans="1:9" ht="15.75">
      <c r="A113" s="34"/>
      <c r="B113" s="34"/>
      <c r="C113" s="34"/>
      <c r="D113" s="39"/>
      <c r="E113" s="39"/>
      <c r="F113" s="34"/>
      <c r="G113" s="34"/>
      <c r="H113" s="34"/>
      <c r="I113" s="34"/>
    </row>
    <row r="114" spans="1:9" ht="15.75">
      <c r="A114" s="34"/>
      <c r="B114" s="34"/>
      <c r="C114" s="34"/>
      <c r="D114" s="34"/>
      <c r="E114" s="111"/>
      <c r="F114" s="34"/>
      <c r="G114" s="34"/>
      <c r="H114" s="34"/>
      <c r="I114" s="34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F5:I5"/>
    <mergeCell ref="E5:E6"/>
    <mergeCell ref="C111:D111"/>
    <mergeCell ref="A100:I100"/>
    <mergeCell ref="A110:B110"/>
    <mergeCell ref="C110:D110"/>
    <mergeCell ref="E110:I110"/>
    <mergeCell ref="E111:I111"/>
  </mergeCells>
  <printOptions/>
  <pageMargins left="0.984251968503937" right="0.984251968503937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37">
      <selection activeCell="F65" sqref="F65"/>
    </sheetView>
  </sheetViews>
  <sheetFormatPr defaultColWidth="9.140625" defaultRowHeight="12.75"/>
  <cols>
    <col min="1" max="1" width="33.00390625" style="41" customWidth="1"/>
    <col min="2" max="2" width="6.00390625" style="41" customWidth="1"/>
    <col min="3" max="3" width="5.57421875" style="41" customWidth="1"/>
    <col min="4" max="4" width="5.7109375" style="41" customWidth="1"/>
    <col min="5" max="5" width="5.28125" style="41" customWidth="1"/>
    <col min="6" max="6" width="5.57421875" style="41" customWidth="1"/>
    <col min="7" max="7" width="5.7109375" style="41" customWidth="1"/>
    <col min="8" max="8" width="6.00390625" style="41" customWidth="1"/>
    <col min="9" max="9" width="7.00390625" style="41" customWidth="1"/>
    <col min="10" max="10" width="9.140625" style="49" customWidth="1"/>
    <col min="11" max="11" width="19.8515625" style="49" customWidth="1"/>
    <col min="12" max="19" width="7.00390625" style="49" customWidth="1"/>
    <col min="2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202" t="s">
        <v>142</v>
      </c>
      <c r="H1" s="202"/>
      <c r="I1" s="202"/>
    </row>
    <row r="2" spans="1:9" ht="14.25">
      <c r="A2" s="203" t="s">
        <v>59</v>
      </c>
      <c r="B2" s="203"/>
      <c r="C2" s="203"/>
      <c r="D2" s="203"/>
      <c r="E2" s="203"/>
      <c r="F2" s="203"/>
      <c r="G2" s="203"/>
      <c r="H2" s="203"/>
      <c r="I2" s="203"/>
    </row>
    <row r="3" spans="1:9" ht="7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s="115" customFormat="1" ht="11.25" customHeight="1">
      <c r="A4" s="200" t="s">
        <v>1</v>
      </c>
      <c r="B4" s="204" t="s">
        <v>2</v>
      </c>
      <c r="C4" s="201" t="s">
        <v>216</v>
      </c>
      <c r="D4" s="201" t="s">
        <v>217</v>
      </c>
      <c r="E4" s="201" t="s">
        <v>230</v>
      </c>
      <c r="F4" s="201" t="s">
        <v>3</v>
      </c>
      <c r="G4" s="201"/>
      <c r="H4" s="201"/>
      <c r="I4" s="201"/>
    </row>
    <row r="5" spans="1:9" s="115" customFormat="1" ht="51.75" customHeight="1">
      <c r="A5" s="200"/>
      <c r="B5" s="204"/>
      <c r="C5" s="201"/>
      <c r="D5" s="201"/>
      <c r="E5" s="201"/>
      <c r="F5" s="110" t="s">
        <v>4</v>
      </c>
      <c r="G5" s="110" t="s">
        <v>5</v>
      </c>
      <c r="H5" s="110" t="s">
        <v>6</v>
      </c>
      <c r="I5" s="110" t="s">
        <v>7</v>
      </c>
    </row>
    <row r="6" spans="1:9" s="115" customFormat="1" ht="8.25" customHeight="1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</row>
    <row r="7" spans="1:9" ht="12" customHeight="1">
      <c r="A7" s="207" t="s">
        <v>60</v>
      </c>
      <c r="B7" s="207"/>
      <c r="C7" s="207"/>
      <c r="D7" s="207"/>
      <c r="E7" s="207"/>
      <c r="F7" s="207"/>
      <c r="G7" s="207"/>
      <c r="H7" s="207"/>
      <c r="I7" s="207"/>
    </row>
    <row r="8" spans="1:10" ht="26.25" customHeight="1">
      <c r="A8" s="87" t="s">
        <v>61</v>
      </c>
      <c r="B8" s="106">
        <v>2000</v>
      </c>
      <c r="C8" s="70">
        <v>104</v>
      </c>
      <c r="D8" s="70">
        <v>49</v>
      </c>
      <c r="E8" s="70">
        <v>105</v>
      </c>
      <c r="F8" s="70">
        <v>105</v>
      </c>
      <c r="G8" s="70">
        <v>61</v>
      </c>
      <c r="H8" s="70">
        <v>87</v>
      </c>
      <c r="I8" s="70">
        <v>114</v>
      </c>
      <c r="J8" s="116"/>
    </row>
    <row r="9" spans="1:10" ht="25.5" customHeight="1">
      <c r="A9" s="87" t="s">
        <v>62</v>
      </c>
      <c r="B9" s="106">
        <v>2010</v>
      </c>
      <c r="C9" s="70">
        <v>27</v>
      </c>
      <c r="D9" s="70"/>
      <c r="E9" s="70"/>
      <c r="F9" s="70"/>
      <c r="G9" s="70"/>
      <c r="H9" s="70"/>
      <c r="I9" s="70"/>
      <c r="J9" s="116"/>
    </row>
    <row r="10" spans="1:14" ht="10.5" customHeight="1">
      <c r="A10" s="87" t="s">
        <v>63</v>
      </c>
      <c r="B10" s="106">
        <v>2030</v>
      </c>
      <c r="C10" s="70"/>
      <c r="D10" s="70"/>
      <c r="E10" s="70"/>
      <c r="F10" s="70"/>
      <c r="G10" s="70"/>
      <c r="H10" s="70"/>
      <c r="I10" s="70"/>
      <c r="J10" s="116"/>
      <c r="K10" s="117"/>
      <c r="L10" s="117"/>
      <c r="M10" s="117"/>
      <c r="N10" s="117"/>
    </row>
    <row r="11" spans="1:10" ht="14.25">
      <c r="A11" s="87" t="s">
        <v>64</v>
      </c>
      <c r="B11" s="106">
        <v>2031</v>
      </c>
      <c r="C11" s="70"/>
      <c r="D11" s="70"/>
      <c r="E11" s="70"/>
      <c r="F11" s="70"/>
      <c r="G11" s="70"/>
      <c r="H11" s="70"/>
      <c r="I11" s="70"/>
      <c r="J11" s="116"/>
    </row>
    <row r="12" spans="1:10" ht="11.25" customHeight="1">
      <c r="A12" s="87" t="s">
        <v>65</v>
      </c>
      <c r="B12" s="106">
        <v>2040</v>
      </c>
      <c r="C12" s="70"/>
      <c r="D12" s="70"/>
      <c r="E12" s="70"/>
      <c r="F12" s="70"/>
      <c r="G12" s="70"/>
      <c r="H12" s="70"/>
      <c r="I12" s="70"/>
      <c r="J12" s="116"/>
    </row>
    <row r="13" spans="1:10" ht="12" customHeight="1">
      <c r="A13" s="87" t="s">
        <v>66</v>
      </c>
      <c r="B13" s="106">
        <v>2050</v>
      </c>
      <c r="C13" s="70"/>
      <c r="D13" s="70"/>
      <c r="E13" s="70"/>
      <c r="F13" s="70"/>
      <c r="G13" s="70"/>
      <c r="H13" s="70"/>
      <c r="I13" s="70"/>
      <c r="J13" s="116"/>
    </row>
    <row r="14" spans="1:10" ht="12.75" customHeight="1">
      <c r="A14" s="87" t="s">
        <v>67</v>
      </c>
      <c r="B14" s="106">
        <v>2060</v>
      </c>
      <c r="C14" s="70"/>
      <c r="D14" s="70">
        <v>70</v>
      </c>
      <c r="E14" s="70">
        <v>70</v>
      </c>
      <c r="F14" s="70">
        <v>70</v>
      </c>
      <c r="G14" s="70"/>
      <c r="H14" s="70"/>
      <c r="I14" s="70"/>
      <c r="J14" s="116"/>
    </row>
    <row r="15" spans="1:11" ht="16.5" customHeight="1">
      <c r="A15" s="87" t="s">
        <v>237</v>
      </c>
      <c r="B15" s="106"/>
      <c r="C15" s="70">
        <v>197</v>
      </c>
      <c r="D15" s="88">
        <v>70</v>
      </c>
      <c r="E15" s="88">
        <v>70</v>
      </c>
      <c r="F15" s="88">
        <v>70</v>
      </c>
      <c r="G15" s="70"/>
      <c r="H15" s="70"/>
      <c r="I15" s="70"/>
      <c r="J15" s="116"/>
      <c r="K15" s="118"/>
    </row>
    <row r="16" spans="1:11" ht="27.75" customHeight="1">
      <c r="A16" s="87" t="s">
        <v>68</v>
      </c>
      <c r="B16" s="106">
        <v>2070</v>
      </c>
      <c r="C16" s="70">
        <v>59</v>
      </c>
      <c r="D16" s="70">
        <v>85</v>
      </c>
      <c r="E16" s="70">
        <v>141</v>
      </c>
      <c r="F16" s="70">
        <f>F8+26-70</f>
        <v>61</v>
      </c>
      <c r="G16" s="70">
        <f>G8+26</f>
        <v>87</v>
      </c>
      <c r="H16" s="70">
        <v>114</v>
      </c>
      <c r="I16" s="70">
        <f>114+27</f>
        <v>141</v>
      </c>
      <c r="J16" s="116"/>
      <c r="K16" s="118"/>
    </row>
    <row r="17" spans="1:10" ht="14.25">
      <c r="A17" s="207" t="s">
        <v>69</v>
      </c>
      <c r="B17" s="207"/>
      <c r="C17" s="207"/>
      <c r="D17" s="207"/>
      <c r="E17" s="207"/>
      <c r="F17" s="207"/>
      <c r="G17" s="207"/>
      <c r="H17" s="207"/>
      <c r="I17" s="207"/>
      <c r="J17" s="116"/>
    </row>
    <row r="18" spans="1:10" ht="33" customHeight="1">
      <c r="A18" s="109" t="s">
        <v>70</v>
      </c>
      <c r="B18" s="89">
        <v>2110</v>
      </c>
      <c r="C18" s="90">
        <f aca="true" t="shared" si="0" ref="C18:I18">C24</f>
        <v>373</v>
      </c>
      <c r="D18" s="90">
        <f>D24</f>
        <v>391.53</v>
      </c>
      <c r="E18" s="90">
        <f t="shared" si="0"/>
        <v>440</v>
      </c>
      <c r="F18" s="90">
        <f t="shared" si="0"/>
        <v>119</v>
      </c>
      <c r="G18" s="90">
        <f t="shared" si="0"/>
        <v>101</v>
      </c>
      <c r="H18" s="90">
        <f t="shared" si="0"/>
        <v>101</v>
      </c>
      <c r="I18" s="90">
        <f t="shared" si="0"/>
        <v>119</v>
      </c>
      <c r="J18" s="116"/>
    </row>
    <row r="19" spans="1:10" ht="12.75" customHeight="1">
      <c r="A19" s="65" t="s">
        <v>71</v>
      </c>
      <c r="B19" s="106">
        <v>2111</v>
      </c>
      <c r="C19" s="70"/>
      <c r="D19" s="70"/>
      <c r="E19" s="70"/>
      <c r="F19" s="70"/>
      <c r="G19" s="70"/>
      <c r="H19" s="70"/>
      <c r="I19" s="70"/>
      <c r="J19" s="116"/>
    </row>
    <row r="20" spans="1:10" ht="21">
      <c r="A20" s="65" t="s">
        <v>143</v>
      </c>
      <c r="B20" s="106">
        <v>2112</v>
      </c>
      <c r="C20" s="70"/>
      <c r="D20" s="70"/>
      <c r="E20" s="70"/>
      <c r="F20" s="70"/>
      <c r="G20" s="70"/>
      <c r="H20" s="70"/>
      <c r="I20" s="70"/>
      <c r="J20" s="116"/>
    </row>
    <row r="21" spans="1:10" ht="24" customHeight="1">
      <c r="A21" s="87" t="s">
        <v>144</v>
      </c>
      <c r="B21" s="86">
        <v>2113</v>
      </c>
      <c r="C21" s="70"/>
      <c r="D21" s="70"/>
      <c r="E21" s="70"/>
      <c r="F21" s="70"/>
      <c r="G21" s="70"/>
      <c r="H21" s="70"/>
      <c r="I21" s="70"/>
      <c r="J21" s="116"/>
    </row>
    <row r="22" spans="1:10" ht="14.25">
      <c r="A22" s="87" t="s">
        <v>72</v>
      </c>
      <c r="B22" s="86">
        <v>2114</v>
      </c>
      <c r="C22" s="70"/>
      <c r="D22" s="70"/>
      <c r="E22" s="70"/>
      <c r="F22" s="70"/>
      <c r="G22" s="70"/>
      <c r="H22" s="70"/>
      <c r="I22" s="70"/>
      <c r="J22" s="116"/>
    </row>
    <row r="23" spans="1:20" ht="12.75" customHeight="1">
      <c r="A23" s="87" t="s">
        <v>73</v>
      </c>
      <c r="B23" s="86">
        <v>2115</v>
      </c>
      <c r="C23" s="70"/>
      <c r="D23" s="70"/>
      <c r="E23" s="70"/>
      <c r="F23" s="70"/>
      <c r="G23" s="70"/>
      <c r="H23" s="70"/>
      <c r="I23" s="70"/>
      <c r="J23" s="116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4.25">
      <c r="A24" s="87" t="s">
        <v>236</v>
      </c>
      <c r="B24" s="86">
        <v>2116</v>
      </c>
      <c r="C24" s="70">
        <v>373</v>
      </c>
      <c r="D24" s="70">
        <f>'І Фін результат 2023'!D104*1.5%</f>
        <v>391.53</v>
      </c>
      <c r="E24" s="70">
        <f>F24+G24+H24+I24</f>
        <v>440</v>
      </c>
      <c r="F24" s="70">
        <v>119</v>
      </c>
      <c r="G24" s="70">
        <v>101</v>
      </c>
      <c r="H24" s="70">
        <v>101</v>
      </c>
      <c r="I24" s="70">
        <v>119</v>
      </c>
      <c r="J24" s="116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30" customHeight="1">
      <c r="A25" s="109" t="s">
        <v>75</v>
      </c>
      <c r="B25" s="91">
        <v>2120</v>
      </c>
      <c r="C25" s="90">
        <f>C26+C27+C28+C29</f>
        <v>4532</v>
      </c>
      <c r="D25" s="90">
        <f aca="true" t="shared" si="1" ref="D25:I25">D26+D28+D30+D32+D31</f>
        <v>4744.36</v>
      </c>
      <c r="E25" s="90">
        <f t="shared" si="1"/>
        <v>5335</v>
      </c>
      <c r="F25" s="90">
        <f t="shared" si="1"/>
        <v>1442</v>
      </c>
      <c r="G25" s="90">
        <f t="shared" si="1"/>
        <v>1226</v>
      </c>
      <c r="H25" s="90">
        <f t="shared" si="1"/>
        <v>1226</v>
      </c>
      <c r="I25" s="90">
        <f t="shared" si="1"/>
        <v>1441</v>
      </c>
      <c r="J25" s="116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12" customHeight="1">
      <c r="A26" s="87" t="s">
        <v>73</v>
      </c>
      <c r="B26" s="86">
        <v>2121</v>
      </c>
      <c r="C26" s="70">
        <v>4464</v>
      </c>
      <c r="D26" s="70">
        <v>4698.36</v>
      </c>
      <c r="E26" s="70">
        <f>F26+G26+H26+I26</f>
        <v>5289</v>
      </c>
      <c r="F26" s="70">
        <v>1430</v>
      </c>
      <c r="G26" s="70">
        <v>1214</v>
      </c>
      <c r="H26" s="70">
        <v>1214</v>
      </c>
      <c r="I26" s="70">
        <v>1431</v>
      </c>
      <c r="J26" s="116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ht="10.5" customHeight="1">
      <c r="A27" s="87" t="s">
        <v>76</v>
      </c>
      <c r="B27" s="86">
        <v>2122</v>
      </c>
      <c r="C27" s="70">
        <v>1</v>
      </c>
      <c r="D27" s="70"/>
      <c r="E27" s="70"/>
      <c r="F27" s="70"/>
      <c r="G27" s="70"/>
      <c r="H27" s="70"/>
      <c r="I27" s="70"/>
      <c r="J27" s="116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ht="12" customHeight="1">
      <c r="A28" s="87" t="s">
        <v>77</v>
      </c>
      <c r="B28" s="86">
        <v>2123</v>
      </c>
      <c r="C28" s="70">
        <v>6</v>
      </c>
      <c r="D28" s="70">
        <v>1</v>
      </c>
      <c r="E28" s="70">
        <v>1</v>
      </c>
      <c r="F28" s="67">
        <v>1</v>
      </c>
      <c r="G28" s="67"/>
      <c r="H28" s="67"/>
      <c r="I28" s="67"/>
      <c r="J28" s="116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12" customHeight="1">
      <c r="A29" s="87" t="s">
        <v>74</v>
      </c>
      <c r="B29" s="86">
        <v>2124</v>
      </c>
      <c r="C29" s="70">
        <f>C30+C32</f>
        <v>61</v>
      </c>
      <c r="D29" s="70">
        <v>45</v>
      </c>
      <c r="E29" s="70">
        <v>45</v>
      </c>
      <c r="F29" s="70">
        <f>F30+F32</f>
        <v>11</v>
      </c>
      <c r="G29" s="70">
        <f>G30+G32</f>
        <v>12</v>
      </c>
      <c r="H29" s="70">
        <f>H30+H32</f>
        <v>12</v>
      </c>
      <c r="I29" s="70">
        <f>I30+I32</f>
        <v>10</v>
      </c>
      <c r="J29" s="116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0.5" customHeight="1">
      <c r="A30" s="87" t="s">
        <v>195</v>
      </c>
      <c r="B30" s="86"/>
      <c r="C30" s="70">
        <v>37</v>
      </c>
      <c r="D30" s="70">
        <v>27</v>
      </c>
      <c r="E30" s="70">
        <v>27</v>
      </c>
      <c r="F30" s="70">
        <v>7</v>
      </c>
      <c r="G30" s="70">
        <v>7</v>
      </c>
      <c r="H30" s="70">
        <v>7</v>
      </c>
      <c r="I30" s="70">
        <v>6</v>
      </c>
      <c r="J30" s="116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9.75" customHeight="1">
      <c r="A31" s="87" t="s">
        <v>191</v>
      </c>
      <c r="B31" s="86"/>
      <c r="C31" s="70"/>
      <c r="D31" s="70"/>
      <c r="E31" s="70"/>
      <c r="F31" s="70"/>
      <c r="G31" s="70"/>
      <c r="H31" s="70"/>
      <c r="I31" s="70"/>
      <c r="J31" s="116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ht="11.25" customHeight="1">
      <c r="A32" s="87" t="s">
        <v>196</v>
      </c>
      <c r="B32" s="86"/>
      <c r="C32" s="70">
        <v>24</v>
      </c>
      <c r="D32" s="67">
        <v>18</v>
      </c>
      <c r="E32" s="67">
        <v>18</v>
      </c>
      <c r="F32" s="67">
        <v>4</v>
      </c>
      <c r="G32" s="67">
        <v>5</v>
      </c>
      <c r="H32" s="67">
        <v>5</v>
      </c>
      <c r="I32" s="67">
        <v>4</v>
      </c>
      <c r="J32" s="116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ht="21" customHeight="1">
      <c r="A33" s="109" t="s">
        <v>78</v>
      </c>
      <c r="B33" s="91">
        <v>2130</v>
      </c>
      <c r="C33" s="90">
        <f aca="true" t="shared" si="2" ref="C33:I33">C35</f>
        <v>5363</v>
      </c>
      <c r="D33" s="90">
        <f t="shared" si="2"/>
        <v>5742</v>
      </c>
      <c r="E33" s="90">
        <f t="shared" si="2"/>
        <v>6465</v>
      </c>
      <c r="F33" s="90">
        <f t="shared" si="2"/>
        <v>1748</v>
      </c>
      <c r="G33" s="90">
        <f t="shared" si="2"/>
        <v>1484</v>
      </c>
      <c r="H33" s="90">
        <f t="shared" si="2"/>
        <v>1484</v>
      </c>
      <c r="I33" s="90">
        <f t="shared" si="2"/>
        <v>1749</v>
      </c>
      <c r="J33" s="116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19" ht="10.5" customHeight="1">
      <c r="A34" s="87" t="s">
        <v>79</v>
      </c>
      <c r="B34" s="86">
        <v>2131</v>
      </c>
      <c r="C34" s="70"/>
      <c r="D34" s="70"/>
      <c r="E34" s="70"/>
      <c r="F34" s="70"/>
      <c r="G34" s="70"/>
      <c r="H34" s="70"/>
      <c r="I34" s="70"/>
      <c r="J34" s="116"/>
      <c r="N34" s="120"/>
      <c r="O34" s="120"/>
      <c r="P34" s="120"/>
      <c r="Q34" s="120"/>
      <c r="R34" s="120"/>
      <c r="S34" s="120"/>
    </row>
    <row r="35" spans="1:19" ht="21.75" customHeight="1">
      <c r="A35" s="87" t="s">
        <v>80</v>
      </c>
      <c r="B35" s="86">
        <v>2132</v>
      </c>
      <c r="C35" s="70">
        <v>5363</v>
      </c>
      <c r="D35" s="70">
        <v>5742</v>
      </c>
      <c r="E35" s="70">
        <f>F35+G35+H35+I35</f>
        <v>6465</v>
      </c>
      <c r="F35" s="70">
        <v>1748</v>
      </c>
      <c r="G35" s="70">
        <v>1484</v>
      </c>
      <c r="H35" s="70">
        <v>1484</v>
      </c>
      <c r="I35" s="70">
        <v>1749</v>
      </c>
      <c r="J35" s="116"/>
      <c r="K35" s="118"/>
      <c r="L35" s="118"/>
      <c r="M35" s="118"/>
      <c r="N35" s="118"/>
      <c r="O35" s="120"/>
      <c r="P35" s="120"/>
      <c r="Q35" s="120"/>
      <c r="R35" s="120"/>
      <c r="S35" s="120"/>
    </row>
    <row r="36" spans="1:19" ht="14.25">
      <c r="A36" s="87" t="s">
        <v>81</v>
      </c>
      <c r="B36" s="86">
        <v>2133</v>
      </c>
      <c r="C36" s="70"/>
      <c r="D36" s="70"/>
      <c r="E36" s="70"/>
      <c r="F36" s="70"/>
      <c r="G36" s="70"/>
      <c r="H36" s="70"/>
      <c r="I36" s="70"/>
      <c r="J36" s="116"/>
      <c r="N36" s="120"/>
      <c r="O36" s="120"/>
      <c r="P36" s="120"/>
      <c r="Q36" s="120"/>
      <c r="R36" s="120"/>
      <c r="S36" s="120"/>
    </row>
    <row r="37" spans="1:19" ht="14.25">
      <c r="A37" s="109" t="s">
        <v>82</v>
      </c>
      <c r="B37" s="91">
        <v>2140</v>
      </c>
      <c r="C37" s="69"/>
      <c r="D37" s="69"/>
      <c r="E37" s="69"/>
      <c r="F37" s="69"/>
      <c r="G37" s="69"/>
      <c r="H37" s="69"/>
      <c r="I37" s="69"/>
      <c r="J37" s="116"/>
      <c r="L37" s="118"/>
      <c r="M37" s="118"/>
      <c r="N37" s="121"/>
      <c r="O37" s="121"/>
      <c r="P37" s="121"/>
      <c r="Q37" s="120"/>
      <c r="R37" s="120"/>
      <c r="S37" s="120"/>
    </row>
    <row r="38" spans="1:19" ht="36" customHeight="1">
      <c r="A38" s="87" t="s">
        <v>83</v>
      </c>
      <c r="B38" s="86">
        <v>2141</v>
      </c>
      <c r="C38" s="67"/>
      <c r="D38" s="67"/>
      <c r="E38" s="67"/>
      <c r="F38" s="67"/>
      <c r="G38" s="67"/>
      <c r="H38" s="67"/>
      <c r="I38" s="67"/>
      <c r="J38" s="116"/>
      <c r="N38" s="120"/>
      <c r="O38" s="120"/>
      <c r="P38" s="120"/>
      <c r="Q38" s="120"/>
      <c r="R38" s="120"/>
      <c r="S38" s="120"/>
    </row>
    <row r="39" spans="1:10" ht="14.25">
      <c r="A39" s="87" t="s">
        <v>84</v>
      </c>
      <c r="B39" s="86">
        <v>2142</v>
      </c>
      <c r="C39" s="67"/>
      <c r="D39" s="67"/>
      <c r="E39" s="67"/>
      <c r="F39" s="67"/>
      <c r="G39" s="67"/>
      <c r="H39" s="67"/>
      <c r="I39" s="67"/>
      <c r="J39" s="116"/>
    </row>
    <row r="40" spans="1:10" ht="3" customHeight="1">
      <c r="A40" s="122"/>
      <c r="B40" s="46"/>
      <c r="C40" s="47"/>
      <c r="D40" s="47"/>
      <c r="E40" s="193" t="s">
        <v>197</v>
      </c>
      <c r="F40" s="208"/>
      <c r="G40" s="208"/>
      <c r="H40" s="208"/>
      <c r="I40" s="208"/>
      <c r="J40" s="208"/>
    </row>
    <row r="41" spans="1:10" ht="14.25">
      <c r="A41" s="191" t="s">
        <v>242</v>
      </c>
      <c r="B41" s="192"/>
      <c r="C41" s="188" t="s">
        <v>85</v>
      </c>
      <c r="D41" s="189"/>
      <c r="E41" s="208"/>
      <c r="F41" s="208"/>
      <c r="G41" s="208"/>
      <c r="H41" s="208"/>
      <c r="I41" s="208"/>
      <c r="J41" s="208"/>
    </row>
    <row r="42" spans="1:9" ht="10.5" customHeight="1">
      <c r="A42" s="108"/>
      <c r="B42" s="105"/>
      <c r="C42" s="206"/>
      <c r="D42" s="206"/>
      <c r="E42" s="108"/>
      <c r="F42" s="50"/>
      <c r="G42" s="50"/>
      <c r="H42" s="33"/>
      <c r="I42" s="51"/>
    </row>
    <row r="43" spans="1:9" ht="14.25">
      <c r="A43" s="33" t="s">
        <v>188</v>
      </c>
      <c r="B43" s="33"/>
      <c r="C43" s="205"/>
      <c r="D43" s="205"/>
      <c r="E43" s="195" t="s">
        <v>198</v>
      </c>
      <c r="F43" s="208"/>
      <c r="G43" s="208"/>
      <c r="H43" s="208"/>
      <c r="I43" s="208"/>
    </row>
  </sheetData>
  <sheetProtection/>
  <mergeCells count="16">
    <mergeCell ref="C43:D43"/>
    <mergeCell ref="C42:D42"/>
    <mergeCell ref="A7:I7"/>
    <mergeCell ref="A17:I17"/>
    <mergeCell ref="C41:D41"/>
    <mergeCell ref="A41:B41"/>
    <mergeCell ref="E40:J41"/>
    <mergeCell ref="E43:I43"/>
    <mergeCell ref="G1:I1"/>
    <mergeCell ref="A2:I2"/>
    <mergeCell ref="A4:A5"/>
    <mergeCell ref="B4:B5"/>
    <mergeCell ref="C4:C5"/>
    <mergeCell ref="D4:D5"/>
    <mergeCell ref="F4:I4"/>
    <mergeCell ref="E4:E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zoomScale="130" zoomScaleNormal="130" zoomScalePageLayoutView="0" workbookViewId="0" topLeftCell="A25">
      <selection activeCell="A46" sqref="A46:I47"/>
    </sheetView>
  </sheetViews>
  <sheetFormatPr defaultColWidth="9.140625" defaultRowHeight="12.75"/>
  <cols>
    <col min="1" max="1" width="31.140625" style="43" customWidth="1"/>
    <col min="2" max="2" width="5.00390625" style="43" customWidth="1"/>
    <col min="3" max="3" width="7.00390625" style="43" customWidth="1"/>
    <col min="4" max="5" width="7.421875" style="43" customWidth="1"/>
    <col min="6" max="6" width="5.421875" style="43" customWidth="1"/>
    <col min="7" max="7" width="5.7109375" style="43" customWidth="1"/>
    <col min="8" max="8" width="6.140625" style="43" customWidth="1"/>
    <col min="9" max="9" width="6.00390625" style="43" customWidth="1"/>
    <col min="1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202" t="s">
        <v>145</v>
      </c>
      <c r="H1" s="202"/>
      <c r="I1" s="202"/>
    </row>
    <row r="2" spans="1:9" ht="11.25" customHeight="1">
      <c r="A2" s="210" t="s">
        <v>146</v>
      </c>
      <c r="B2" s="210"/>
      <c r="C2" s="210"/>
      <c r="D2" s="210"/>
      <c r="E2" s="210"/>
      <c r="F2" s="210"/>
      <c r="G2" s="210"/>
      <c r="H2" s="210"/>
      <c r="I2" s="210"/>
    </row>
    <row r="3" spans="1:9" ht="6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9" s="45" customFormat="1" ht="13.5" customHeight="1">
      <c r="A4" s="174" t="s">
        <v>1</v>
      </c>
      <c r="B4" s="176" t="s">
        <v>86</v>
      </c>
      <c r="C4" s="201" t="s">
        <v>216</v>
      </c>
      <c r="D4" s="201" t="s">
        <v>217</v>
      </c>
      <c r="E4" s="201" t="s">
        <v>230</v>
      </c>
      <c r="F4" s="201" t="s">
        <v>3</v>
      </c>
      <c r="G4" s="201"/>
      <c r="H4" s="201"/>
      <c r="I4" s="201"/>
    </row>
    <row r="5" spans="1:9" s="45" customFormat="1" ht="30" customHeight="1">
      <c r="A5" s="175"/>
      <c r="B5" s="176"/>
      <c r="C5" s="201"/>
      <c r="D5" s="201"/>
      <c r="E5" s="201"/>
      <c r="F5" s="110" t="s">
        <v>4</v>
      </c>
      <c r="G5" s="110" t="s">
        <v>5</v>
      </c>
      <c r="H5" s="110" t="s">
        <v>6</v>
      </c>
      <c r="I5" s="110" t="s">
        <v>7</v>
      </c>
    </row>
    <row r="6" spans="1:9" s="115" customFormat="1" ht="11.25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</row>
    <row r="7" spans="1:9" s="115" customFormat="1" ht="13.5" customHeight="1">
      <c r="A7" s="170" t="s">
        <v>87</v>
      </c>
      <c r="B7" s="171"/>
      <c r="C7" s="171"/>
      <c r="D7" s="171"/>
      <c r="E7" s="171"/>
      <c r="F7" s="171"/>
      <c r="G7" s="171"/>
      <c r="H7" s="171"/>
      <c r="I7" s="172"/>
    </row>
    <row r="8" spans="1:11" s="115" customFormat="1" ht="21">
      <c r="A8" s="92" t="s">
        <v>88</v>
      </c>
      <c r="B8" s="93">
        <v>3000</v>
      </c>
      <c r="C8" s="94">
        <f aca="true" t="shared" si="0" ref="C8:I8">C12+C15</f>
        <v>52794</v>
      </c>
      <c r="D8" s="69">
        <f t="shared" si="0"/>
        <v>60643</v>
      </c>
      <c r="E8" s="69">
        <f t="shared" si="0"/>
        <v>66094</v>
      </c>
      <c r="F8" s="69">
        <f t="shared" si="0"/>
        <v>16774</v>
      </c>
      <c r="G8" s="69">
        <f t="shared" si="0"/>
        <v>17273</v>
      </c>
      <c r="H8" s="69">
        <f t="shared" si="0"/>
        <v>17273</v>
      </c>
      <c r="I8" s="69">
        <f t="shared" si="0"/>
        <v>14774</v>
      </c>
      <c r="J8" s="123"/>
      <c r="K8" s="124"/>
    </row>
    <row r="9" spans="1:11" s="115" customFormat="1" ht="21.75" customHeight="1">
      <c r="A9" s="65" t="s">
        <v>89</v>
      </c>
      <c r="B9" s="66">
        <v>3010</v>
      </c>
      <c r="C9" s="67"/>
      <c r="D9" s="67"/>
      <c r="E9" s="67"/>
      <c r="F9" s="67"/>
      <c r="G9" s="67"/>
      <c r="H9" s="67"/>
      <c r="I9" s="67"/>
      <c r="J9" s="123"/>
      <c r="K9" s="124"/>
    </row>
    <row r="10" spans="1:11" s="115" customFormat="1" ht="13.5" customHeight="1">
      <c r="A10" s="65" t="s">
        <v>90</v>
      </c>
      <c r="B10" s="66">
        <v>3020</v>
      </c>
      <c r="C10" s="67"/>
      <c r="D10" s="67"/>
      <c r="E10" s="67"/>
      <c r="F10" s="67"/>
      <c r="G10" s="67"/>
      <c r="H10" s="67"/>
      <c r="I10" s="67"/>
      <c r="J10" s="123"/>
      <c r="K10" s="124"/>
    </row>
    <row r="11" spans="1:11" s="115" customFormat="1" ht="13.5" customHeight="1">
      <c r="A11" s="65" t="s">
        <v>91</v>
      </c>
      <c r="B11" s="66">
        <v>3021</v>
      </c>
      <c r="C11" s="67"/>
      <c r="D11" s="67"/>
      <c r="E11" s="67"/>
      <c r="F11" s="67"/>
      <c r="G11" s="67"/>
      <c r="H11" s="67"/>
      <c r="I11" s="67"/>
      <c r="J11" s="123"/>
      <c r="K11" s="124"/>
    </row>
    <row r="12" spans="1:12" s="115" customFormat="1" ht="11.25">
      <c r="A12" s="65" t="s">
        <v>92</v>
      </c>
      <c r="B12" s="66">
        <v>3030</v>
      </c>
      <c r="C12" s="67">
        <v>51909</v>
      </c>
      <c r="D12" s="67">
        <f>50587+9259</f>
        <v>59846</v>
      </c>
      <c r="E12" s="67">
        <f>71610-5000-1492</f>
        <v>65118</v>
      </c>
      <c r="F12" s="67">
        <f>14530+2000</f>
        <v>16530</v>
      </c>
      <c r="G12" s="67">
        <v>17029</v>
      </c>
      <c r="H12" s="67">
        <v>17029</v>
      </c>
      <c r="I12" s="115">
        <v>14530</v>
      </c>
      <c r="J12" s="123"/>
      <c r="K12" s="124"/>
      <c r="L12" s="124"/>
    </row>
    <row r="13" spans="1:11" s="115" customFormat="1" ht="11.25">
      <c r="A13" s="65" t="s">
        <v>93</v>
      </c>
      <c r="B13" s="66">
        <v>3040</v>
      </c>
      <c r="C13" s="67"/>
      <c r="D13" s="67"/>
      <c r="E13" s="67"/>
      <c r="F13" s="67"/>
      <c r="G13" s="67"/>
      <c r="H13" s="67"/>
      <c r="I13" s="67"/>
      <c r="J13" s="123"/>
      <c r="K13" s="124"/>
    </row>
    <row r="14" spans="1:19" s="115" customFormat="1" ht="21">
      <c r="A14" s="65" t="s">
        <v>147</v>
      </c>
      <c r="B14" s="66">
        <v>3050</v>
      </c>
      <c r="C14" s="67"/>
      <c r="D14" s="67"/>
      <c r="E14" s="67"/>
      <c r="F14" s="67"/>
      <c r="G14" s="67"/>
      <c r="H14" s="67"/>
      <c r="I14" s="67"/>
      <c r="J14" s="123"/>
      <c r="K14" s="124"/>
      <c r="L14" s="111"/>
      <c r="M14" s="111"/>
      <c r="N14" s="111"/>
      <c r="O14" s="45"/>
      <c r="P14" s="45"/>
      <c r="Q14" s="45"/>
      <c r="R14" s="45"/>
      <c r="S14" s="45"/>
    </row>
    <row r="15" spans="1:19" s="115" customFormat="1" ht="42">
      <c r="A15" s="65" t="s">
        <v>231</v>
      </c>
      <c r="B15" s="66">
        <v>3060</v>
      </c>
      <c r="C15" s="67">
        <v>885</v>
      </c>
      <c r="D15" s="67">
        <v>797</v>
      </c>
      <c r="E15" s="67">
        <f>776+200</f>
        <v>976</v>
      </c>
      <c r="F15" s="125">
        <f>194+50</f>
        <v>244</v>
      </c>
      <c r="G15" s="125">
        <f>194+50</f>
        <v>244</v>
      </c>
      <c r="H15" s="125">
        <f>194+50</f>
        <v>244</v>
      </c>
      <c r="I15" s="125">
        <f>194+50</f>
        <v>244</v>
      </c>
      <c r="J15" s="123"/>
      <c r="K15" s="124"/>
      <c r="L15" s="111"/>
      <c r="M15" s="111"/>
      <c r="N15" s="111"/>
      <c r="O15" s="45"/>
      <c r="P15" s="45"/>
      <c r="Q15" s="45"/>
      <c r="R15" s="45"/>
      <c r="S15" s="45"/>
    </row>
    <row r="16" spans="1:19" s="115" customFormat="1" ht="21">
      <c r="A16" s="104" t="s">
        <v>94</v>
      </c>
      <c r="B16" s="68">
        <v>3100</v>
      </c>
      <c r="C16" s="69">
        <f>C17+C18+C20+C28</f>
        <v>52792</v>
      </c>
      <c r="D16" s="69">
        <v>60617</v>
      </c>
      <c r="E16" s="69">
        <f>E17+E18+E20</f>
        <v>66058</v>
      </c>
      <c r="F16" s="69">
        <f>F17+F18+F20</f>
        <v>16765</v>
      </c>
      <c r="G16" s="69">
        <f>G17+G18+G20</f>
        <v>17264</v>
      </c>
      <c r="H16" s="69">
        <f>H17+H18+H20</f>
        <v>17265</v>
      </c>
      <c r="I16" s="69">
        <f>I17+I18+I20</f>
        <v>14764</v>
      </c>
      <c r="J16" s="123"/>
      <c r="K16" s="124"/>
      <c r="L16" s="111"/>
      <c r="M16" s="111"/>
      <c r="N16" s="111"/>
      <c r="O16" s="45"/>
      <c r="P16" s="45"/>
      <c r="Q16" s="45"/>
      <c r="R16" s="45"/>
      <c r="S16" s="45"/>
    </row>
    <row r="17" spans="1:19" s="115" customFormat="1" ht="15.75" customHeight="1">
      <c r="A17" s="65" t="s">
        <v>95</v>
      </c>
      <c r="B17" s="66">
        <v>3110</v>
      </c>
      <c r="C17" s="67">
        <v>22894</v>
      </c>
      <c r="D17" s="67">
        <v>28728</v>
      </c>
      <c r="E17" s="67">
        <f>36654-5000-1492</f>
        <v>30162</v>
      </c>
      <c r="F17" s="67">
        <f>7493+3492+66-2500-1492</f>
        <v>7059</v>
      </c>
      <c r="G17" s="67">
        <f>8956+66</f>
        <v>9022</v>
      </c>
      <c r="H17" s="67">
        <f>8957+66</f>
        <v>9023</v>
      </c>
      <c r="I17" s="67">
        <f>7491+67-2500</f>
        <v>5058</v>
      </c>
      <c r="J17" s="124"/>
      <c r="K17" s="124"/>
      <c r="L17" s="111"/>
      <c r="M17" s="45"/>
      <c r="N17" s="45"/>
      <c r="O17" s="45"/>
      <c r="P17" s="45"/>
      <c r="Q17" s="45"/>
      <c r="R17" s="45"/>
      <c r="S17" s="45"/>
    </row>
    <row r="18" spans="1:19" s="115" customFormat="1" ht="30" customHeight="1">
      <c r="A18" s="65" t="s">
        <v>232</v>
      </c>
      <c r="B18" s="66">
        <v>3120</v>
      </c>
      <c r="C18" s="67">
        <v>29792</v>
      </c>
      <c r="D18" s="67">
        <v>31844</v>
      </c>
      <c r="E18" s="67">
        <f>'І Фін результат 2023'!E104+'І Фін результат 2023'!E105-6465-5289-440</f>
        <v>23657</v>
      </c>
      <c r="F18" s="67">
        <v>6398</v>
      </c>
      <c r="G18" s="67">
        <v>5431</v>
      </c>
      <c r="H18" s="67">
        <v>5431</v>
      </c>
      <c r="I18" s="67">
        <v>6397</v>
      </c>
      <c r="J18" s="123"/>
      <c r="K18" s="124"/>
      <c r="L18" s="111"/>
      <c r="M18" s="111"/>
      <c r="N18" s="111"/>
      <c r="O18" s="111"/>
      <c r="P18" s="111"/>
      <c r="Q18" s="45"/>
      <c r="R18" s="45"/>
      <c r="S18" s="45"/>
    </row>
    <row r="19" spans="1:19" s="115" customFormat="1" ht="21">
      <c r="A19" s="65" t="s">
        <v>148</v>
      </c>
      <c r="B19" s="66">
        <v>3130</v>
      </c>
      <c r="C19" s="67"/>
      <c r="D19" s="67"/>
      <c r="E19" s="67"/>
      <c r="F19" s="67"/>
      <c r="G19" s="67"/>
      <c r="H19" s="67"/>
      <c r="I19" s="67"/>
      <c r="J19" s="123"/>
      <c r="K19" s="124"/>
      <c r="L19" s="111"/>
      <c r="M19" s="111"/>
      <c r="N19" s="111"/>
      <c r="O19" s="111"/>
      <c r="P19" s="111"/>
      <c r="Q19" s="111"/>
      <c r="R19" s="45"/>
      <c r="S19" s="45"/>
    </row>
    <row r="20" spans="1:19" s="115" customFormat="1" ht="21">
      <c r="A20" s="65" t="s">
        <v>96</v>
      </c>
      <c r="B20" s="66">
        <v>3140</v>
      </c>
      <c r="C20" s="67">
        <v>61</v>
      </c>
      <c r="D20" s="67">
        <v>45</v>
      </c>
      <c r="E20" s="69">
        <f>E21+E24+E23+E28</f>
        <v>12239</v>
      </c>
      <c r="F20" s="69">
        <f>F21+F24+F23+F28</f>
        <v>3308</v>
      </c>
      <c r="G20" s="69">
        <f>G21+G24+G23+G28</f>
        <v>2811</v>
      </c>
      <c r="H20" s="69">
        <f>H21+H24+H23+H28</f>
        <v>2811</v>
      </c>
      <c r="I20" s="69">
        <f>I21+I24+I23+I28</f>
        <v>3309</v>
      </c>
      <c r="J20" s="123"/>
      <c r="K20" s="124"/>
      <c r="L20" s="111"/>
      <c r="M20" s="111"/>
      <c r="N20" s="45"/>
      <c r="O20" s="45"/>
      <c r="P20" s="45"/>
      <c r="Q20" s="45"/>
      <c r="R20" s="45"/>
      <c r="S20" s="45"/>
    </row>
    <row r="21" spans="1:19" s="115" customFormat="1" ht="11.25" customHeight="1">
      <c r="A21" s="65" t="s">
        <v>111</v>
      </c>
      <c r="B21" s="106">
        <v>3141</v>
      </c>
      <c r="C21" s="67">
        <v>37</v>
      </c>
      <c r="D21" s="67">
        <v>27</v>
      </c>
      <c r="E21" s="67">
        <f>'ІІ Розр з бюджетом 2023'!E30</f>
        <v>27</v>
      </c>
      <c r="F21" s="70">
        <v>7</v>
      </c>
      <c r="G21" s="70">
        <v>7</v>
      </c>
      <c r="H21" s="70">
        <v>7</v>
      </c>
      <c r="I21" s="70">
        <v>6</v>
      </c>
      <c r="J21" s="123"/>
      <c r="K21" s="124"/>
      <c r="L21" s="45"/>
      <c r="M21" s="111"/>
      <c r="N21" s="45"/>
      <c r="O21" s="45"/>
      <c r="P21" s="45"/>
      <c r="Q21" s="45"/>
      <c r="R21" s="45"/>
      <c r="S21" s="45"/>
    </row>
    <row r="22" spans="1:19" s="115" customFormat="1" ht="11.25">
      <c r="A22" s="65" t="s">
        <v>97</v>
      </c>
      <c r="B22" s="106">
        <v>3142</v>
      </c>
      <c r="C22" s="67"/>
      <c r="D22" s="67"/>
      <c r="E22" s="67"/>
      <c r="F22" s="67"/>
      <c r="G22" s="67"/>
      <c r="H22" s="67"/>
      <c r="I22" s="67"/>
      <c r="J22" s="123"/>
      <c r="K22" s="124"/>
      <c r="L22" s="111"/>
      <c r="M22" s="111"/>
      <c r="N22" s="45"/>
      <c r="O22" s="45"/>
      <c r="P22" s="45"/>
      <c r="Q22" s="45"/>
      <c r="R22" s="45"/>
      <c r="S22" s="45"/>
    </row>
    <row r="23" spans="1:19" s="115" customFormat="1" ht="11.25">
      <c r="A23" s="65" t="s">
        <v>73</v>
      </c>
      <c r="B23" s="106">
        <v>3143</v>
      </c>
      <c r="C23" s="67"/>
      <c r="D23" s="67"/>
      <c r="E23" s="67">
        <v>5289</v>
      </c>
      <c r="F23" s="67">
        <v>1430</v>
      </c>
      <c r="G23" s="67">
        <v>1214</v>
      </c>
      <c r="H23" s="67">
        <v>1214</v>
      </c>
      <c r="I23" s="67">
        <v>1431</v>
      </c>
      <c r="J23" s="123"/>
      <c r="K23" s="124"/>
      <c r="L23" s="111"/>
      <c r="M23" s="45"/>
      <c r="N23" s="45"/>
      <c r="O23" s="45"/>
      <c r="P23" s="45"/>
      <c r="Q23" s="45"/>
      <c r="R23" s="45"/>
      <c r="S23" s="45"/>
    </row>
    <row r="24" spans="1:19" s="115" customFormat="1" ht="14.25" customHeight="1">
      <c r="A24" s="65" t="s">
        <v>98</v>
      </c>
      <c r="B24" s="106">
        <v>3144</v>
      </c>
      <c r="C24" s="67">
        <v>24</v>
      </c>
      <c r="D24" s="67">
        <f aca="true" t="shared" si="1" ref="D24:I24">D25</f>
        <v>18</v>
      </c>
      <c r="E24" s="69">
        <f t="shared" si="1"/>
        <v>18</v>
      </c>
      <c r="F24" s="67">
        <f t="shared" si="1"/>
        <v>4</v>
      </c>
      <c r="G24" s="67">
        <f t="shared" si="1"/>
        <v>5</v>
      </c>
      <c r="H24" s="67">
        <f t="shared" si="1"/>
        <v>5</v>
      </c>
      <c r="I24" s="67">
        <f t="shared" si="1"/>
        <v>4</v>
      </c>
      <c r="J24" s="123"/>
      <c r="K24" s="124"/>
      <c r="L24" s="45"/>
      <c r="M24" s="45"/>
      <c r="N24" s="45"/>
      <c r="O24" s="45"/>
      <c r="P24" s="45"/>
      <c r="Q24" s="45"/>
      <c r="R24" s="45"/>
      <c r="S24" s="45"/>
    </row>
    <row r="25" spans="1:19" s="115" customFormat="1" ht="21.75" customHeight="1">
      <c r="A25" s="65" t="s">
        <v>149</v>
      </c>
      <c r="B25" s="106" t="s">
        <v>160</v>
      </c>
      <c r="C25" s="67">
        <v>24</v>
      </c>
      <c r="D25" s="67">
        <v>18</v>
      </c>
      <c r="E25" s="67">
        <v>18</v>
      </c>
      <c r="F25" s="67">
        <v>4</v>
      </c>
      <c r="G25" s="67">
        <v>5</v>
      </c>
      <c r="H25" s="67">
        <v>5</v>
      </c>
      <c r="I25" s="67">
        <v>4</v>
      </c>
      <c r="J25" s="123"/>
      <c r="K25" s="124"/>
      <c r="L25" s="45"/>
      <c r="M25" s="45"/>
      <c r="N25" s="45"/>
      <c r="O25" s="45"/>
      <c r="P25" s="45"/>
      <c r="Q25" s="45"/>
      <c r="R25" s="45"/>
      <c r="S25" s="45"/>
    </row>
    <row r="26" spans="1:11" s="115" customFormat="1" ht="11.25">
      <c r="A26" s="65" t="s">
        <v>99</v>
      </c>
      <c r="B26" s="106">
        <v>3150</v>
      </c>
      <c r="C26" s="67"/>
      <c r="D26" s="67"/>
      <c r="E26" s="67"/>
      <c r="F26" s="67"/>
      <c r="G26" s="67"/>
      <c r="H26" s="67"/>
      <c r="I26" s="67"/>
      <c r="J26" s="123"/>
      <c r="K26" s="124"/>
    </row>
    <row r="27" spans="1:11" s="115" customFormat="1" ht="11.25">
      <c r="A27" s="65" t="s">
        <v>100</v>
      </c>
      <c r="B27" s="66">
        <v>3160</v>
      </c>
      <c r="C27" s="67"/>
      <c r="D27" s="67"/>
      <c r="E27" s="67"/>
      <c r="F27" s="67"/>
      <c r="G27" s="67"/>
      <c r="H27" s="67"/>
      <c r="I27" s="67"/>
      <c r="J27" s="123"/>
      <c r="K27" s="124"/>
    </row>
    <row r="28" spans="1:11" s="115" customFormat="1" ht="11.25">
      <c r="A28" s="65" t="s">
        <v>18</v>
      </c>
      <c r="B28" s="66">
        <v>3170</v>
      </c>
      <c r="C28" s="67">
        <v>45</v>
      </c>
      <c r="D28" s="67"/>
      <c r="E28" s="69">
        <f>E29+E30</f>
        <v>6905</v>
      </c>
      <c r="F28" s="67">
        <f>F29+F30</f>
        <v>1867</v>
      </c>
      <c r="G28" s="67">
        <f>G29+G30</f>
        <v>1585</v>
      </c>
      <c r="H28" s="67">
        <f>H29+H30</f>
        <v>1585</v>
      </c>
      <c r="I28" s="67">
        <f>I29+I30</f>
        <v>1868</v>
      </c>
      <c r="J28" s="123"/>
      <c r="K28" s="124"/>
    </row>
    <row r="29" spans="1:11" s="115" customFormat="1" ht="11.25">
      <c r="A29" s="65" t="s">
        <v>233</v>
      </c>
      <c r="B29" s="66"/>
      <c r="C29" s="67"/>
      <c r="D29" s="67"/>
      <c r="E29" s="67">
        <v>6465</v>
      </c>
      <c r="F29" s="67">
        <v>1748</v>
      </c>
      <c r="G29" s="67">
        <v>1484</v>
      </c>
      <c r="H29" s="67">
        <v>1484</v>
      </c>
      <c r="I29" s="67">
        <v>1749</v>
      </c>
      <c r="J29" s="123"/>
      <c r="K29" s="124"/>
    </row>
    <row r="30" spans="1:11" s="115" customFormat="1" ht="11.25">
      <c r="A30" s="65" t="s">
        <v>234</v>
      </c>
      <c r="B30" s="66"/>
      <c r="C30" s="67"/>
      <c r="D30" s="67"/>
      <c r="E30" s="67">
        <v>440</v>
      </c>
      <c r="F30" s="67">
        <v>119</v>
      </c>
      <c r="G30" s="67">
        <v>101</v>
      </c>
      <c r="H30" s="67">
        <v>101</v>
      </c>
      <c r="I30" s="67">
        <v>119</v>
      </c>
      <c r="J30" s="123"/>
      <c r="K30" s="124"/>
    </row>
    <row r="31" spans="1:11" s="115" customFormat="1" ht="11.25">
      <c r="A31" s="104" t="s">
        <v>101</v>
      </c>
      <c r="B31" s="68">
        <v>3195</v>
      </c>
      <c r="C31" s="69"/>
      <c r="D31" s="69"/>
      <c r="E31" s="69"/>
      <c r="F31" s="69"/>
      <c r="G31" s="69"/>
      <c r="H31" s="69"/>
      <c r="I31" s="69"/>
      <c r="J31" s="123"/>
      <c r="K31" s="124"/>
    </row>
    <row r="32" spans="1:11" s="115" customFormat="1" ht="12.75" customHeight="1">
      <c r="A32" s="170" t="s">
        <v>102</v>
      </c>
      <c r="B32" s="171"/>
      <c r="C32" s="171"/>
      <c r="D32" s="171"/>
      <c r="E32" s="171"/>
      <c r="F32" s="171"/>
      <c r="G32" s="171"/>
      <c r="H32" s="171"/>
      <c r="I32" s="172"/>
      <c r="J32" s="123"/>
      <c r="K32" s="124"/>
    </row>
    <row r="33" spans="1:11" s="115" customFormat="1" ht="22.5" customHeight="1">
      <c r="A33" s="92" t="s">
        <v>103</v>
      </c>
      <c r="B33" s="93">
        <v>3200</v>
      </c>
      <c r="C33" s="69"/>
      <c r="D33" s="69"/>
      <c r="E33" s="69"/>
      <c r="F33" s="69"/>
      <c r="G33" s="69"/>
      <c r="H33" s="69"/>
      <c r="I33" s="69"/>
      <c r="J33" s="123"/>
      <c r="K33" s="124"/>
    </row>
    <row r="34" spans="1:11" s="115" customFormat="1" ht="13.5" customHeight="1">
      <c r="A34" s="65" t="s">
        <v>104</v>
      </c>
      <c r="B34" s="106">
        <v>3210</v>
      </c>
      <c r="C34" s="67"/>
      <c r="D34" s="67"/>
      <c r="E34" s="67"/>
      <c r="F34" s="67"/>
      <c r="G34" s="67"/>
      <c r="H34" s="67"/>
      <c r="I34" s="67"/>
      <c r="J34" s="123"/>
      <c r="K34" s="124"/>
    </row>
    <row r="35" spans="1:11" s="115" customFormat="1" ht="14.25" customHeight="1">
      <c r="A35" s="65" t="s">
        <v>105</v>
      </c>
      <c r="B35" s="66">
        <v>3220</v>
      </c>
      <c r="C35" s="67"/>
      <c r="D35" s="67"/>
      <c r="E35" s="67"/>
      <c r="F35" s="67"/>
      <c r="G35" s="67"/>
      <c r="H35" s="67"/>
      <c r="I35" s="67"/>
      <c r="J35" s="123"/>
      <c r="K35" s="124"/>
    </row>
    <row r="36" spans="1:11" s="115" customFormat="1" ht="13.5" customHeight="1">
      <c r="A36" s="65" t="s">
        <v>219</v>
      </c>
      <c r="B36" s="66">
        <v>3230</v>
      </c>
      <c r="C36" s="67"/>
      <c r="D36" s="67"/>
      <c r="E36" s="67"/>
      <c r="F36" s="67"/>
      <c r="G36" s="67"/>
      <c r="H36" s="67"/>
      <c r="I36" s="67"/>
      <c r="J36" s="123"/>
      <c r="K36" s="124"/>
    </row>
    <row r="37" spans="1:11" s="115" customFormat="1" ht="21">
      <c r="A37" s="104" t="s">
        <v>106</v>
      </c>
      <c r="B37" s="68">
        <v>3255</v>
      </c>
      <c r="C37" s="69"/>
      <c r="D37" s="69"/>
      <c r="E37" s="69"/>
      <c r="F37" s="69"/>
      <c r="G37" s="69"/>
      <c r="H37" s="69"/>
      <c r="I37" s="69"/>
      <c r="J37" s="123"/>
      <c r="K37" s="124"/>
    </row>
    <row r="38" spans="1:11" s="115" customFormat="1" ht="24" customHeight="1">
      <c r="A38" s="65" t="s">
        <v>220</v>
      </c>
      <c r="B38" s="66">
        <v>3260</v>
      </c>
      <c r="C38" s="67"/>
      <c r="D38" s="67"/>
      <c r="E38" s="67"/>
      <c r="F38" s="67"/>
      <c r="G38" s="67"/>
      <c r="H38" s="67"/>
      <c r="I38" s="67"/>
      <c r="J38" s="123"/>
      <c r="K38" s="124"/>
    </row>
    <row r="39" spans="1:11" s="115" customFormat="1" ht="11.25">
      <c r="A39" s="65" t="s">
        <v>221</v>
      </c>
      <c r="B39" s="66">
        <v>3265</v>
      </c>
      <c r="C39" s="67"/>
      <c r="D39" s="67"/>
      <c r="E39" s="67"/>
      <c r="F39" s="67"/>
      <c r="G39" s="67"/>
      <c r="H39" s="67"/>
      <c r="I39" s="67"/>
      <c r="J39" s="123"/>
      <c r="K39" s="124"/>
    </row>
    <row r="40" spans="1:11" s="115" customFormat="1" ht="21">
      <c r="A40" s="65" t="s">
        <v>222</v>
      </c>
      <c r="B40" s="66">
        <v>3270</v>
      </c>
      <c r="C40" s="67"/>
      <c r="D40" s="67"/>
      <c r="E40" s="67"/>
      <c r="F40" s="67"/>
      <c r="G40" s="67"/>
      <c r="H40" s="67"/>
      <c r="I40" s="67"/>
      <c r="J40" s="123"/>
      <c r="K40" s="124"/>
    </row>
    <row r="41" spans="1:11" s="115" customFormat="1" ht="11.25">
      <c r="A41" s="65" t="s">
        <v>18</v>
      </c>
      <c r="B41" s="66">
        <v>3280</v>
      </c>
      <c r="C41" s="67"/>
      <c r="D41" s="67"/>
      <c r="E41" s="67"/>
      <c r="F41" s="67"/>
      <c r="G41" s="67"/>
      <c r="H41" s="67"/>
      <c r="I41" s="67"/>
      <c r="J41" s="123"/>
      <c r="K41" s="124"/>
    </row>
    <row r="42" spans="1:11" s="115" customFormat="1" ht="11.25">
      <c r="A42" s="95" t="s">
        <v>107</v>
      </c>
      <c r="B42" s="96">
        <v>3295</v>
      </c>
      <c r="C42" s="69"/>
      <c r="D42" s="69"/>
      <c r="E42" s="69"/>
      <c r="F42" s="69"/>
      <c r="G42" s="69"/>
      <c r="H42" s="69"/>
      <c r="I42" s="69"/>
      <c r="J42" s="123"/>
      <c r="K42" s="124"/>
    </row>
    <row r="43" spans="1:11" s="115" customFormat="1" ht="11.25">
      <c r="A43" s="104" t="s">
        <v>108</v>
      </c>
      <c r="B43" s="68">
        <v>3400</v>
      </c>
      <c r="C43" s="69">
        <v>2</v>
      </c>
      <c r="D43" s="69">
        <f>D8-D16</f>
        <v>26</v>
      </c>
      <c r="E43" s="69">
        <f>E45-E44</f>
        <v>36</v>
      </c>
      <c r="F43" s="69"/>
      <c r="G43" s="69"/>
      <c r="H43" s="69"/>
      <c r="I43" s="69"/>
      <c r="J43" s="123"/>
      <c r="K43" s="124"/>
    </row>
    <row r="44" spans="1:11" s="115" customFormat="1" ht="12" customHeight="1">
      <c r="A44" s="65" t="s">
        <v>109</v>
      </c>
      <c r="B44" s="66">
        <v>3405</v>
      </c>
      <c r="C44" s="67">
        <v>120</v>
      </c>
      <c r="D44" s="67">
        <v>40</v>
      </c>
      <c r="E44" s="67">
        <v>105</v>
      </c>
      <c r="F44" s="67"/>
      <c r="G44" s="67"/>
      <c r="H44" s="67"/>
      <c r="I44" s="67"/>
      <c r="J44" s="123"/>
      <c r="K44" s="124"/>
    </row>
    <row r="45" spans="1:11" s="115" customFormat="1" ht="12.75" customHeight="1">
      <c r="A45" s="65" t="s">
        <v>110</v>
      </c>
      <c r="B45" s="66">
        <v>3415</v>
      </c>
      <c r="C45" s="67">
        <v>122</v>
      </c>
      <c r="D45" s="67">
        <f>D43+D44</f>
        <v>66</v>
      </c>
      <c r="E45" s="67">
        <v>141</v>
      </c>
      <c r="F45" s="67"/>
      <c r="G45" s="67"/>
      <c r="H45" s="67"/>
      <c r="I45" s="67"/>
      <c r="J45" s="123"/>
      <c r="K45" s="124"/>
    </row>
    <row r="46" spans="1:24" ht="21" customHeight="1">
      <c r="A46" s="191" t="s">
        <v>242</v>
      </c>
      <c r="B46" s="192"/>
      <c r="C46" s="209"/>
      <c r="D46" s="209"/>
      <c r="E46" s="173" t="s">
        <v>197</v>
      </c>
      <c r="F46" s="173"/>
      <c r="G46" s="173"/>
      <c r="H46" s="173"/>
      <c r="I46" s="173"/>
      <c r="P46" s="126"/>
      <c r="Q46" s="127"/>
      <c r="R46" s="128"/>
      <c r="S46" s="128"/>
      <c r="T46" s="128"/>
      <c r="U46" s="129"/>
      <c r="V46" s="130"/>
      <c r="W46" s="130"/>
      <c r="X46" s="130"/>
    </row>
    <row r="47" spans="1:11" ht="14.25">
      <c r="A47" s="33" t="s">
        <v>188</v>
      </c>
      <c r="B47" s="33"/>
      <c r="C47" s="40"/>
      <c r="D47" s="33"/>
      <c r="E47" s="195" t="s">
        <v>198</v>
      </c>
      <c r="F47" s="195"/>
      <c r="G47" s="195"/>
      <c r="H47" s="195"/>
      <c r="I47" s="195"/>
      <c r="K47" s="118"/>
    </row>
    <row r="48" spans="1:9" ht="14.25">
      <c r="A48" s="41"/>
      <c r="B48" s="41"/>
      <c r="C48" s="41"/>
      <c r="D48" s="42"/>
      <c r="E48" s="42"/>
      <c r="F48" s="41"/>
      <c r="G48" s="41"/>
      <c r="H48" s="41"/>
      <c r="I48" s="41"/>
    </row>
    <row r="50" ht="14.25">
      <c r="C50" s="44"/>
    </row>
  </sheetData>
  <sheetProtection/>
  <mergeCells count="14">
    <mergeCell ref="E47:I47"/>
    <mergeCell ref="A4:A5"/>
    <mergeCell ref="B4:B5"/>
    <mergeCell ref="E4:E5"/>
    <mergeCell ref="C4:C5"/>
    <mergeCell ref="G1:I1"/>
    <mergeCell ref="C46:D46"/>
    <mergeCell ref="A46:B46"/>
    <mergeCell ref="A2:I2"/>
    <mergeCell ref="D4:D5"/>
    <mergeCell ref="F4:I4"/>
    <mergeCell ref="A7:I7"/>
    <mergeCell ref="A32:I32"/>
    <mergeCell ref="E46:I4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zoomScale="120" zoomScaleNormal="120" zoomScalePageLayoutView="0" workbookViewId="0" topLeftCell="A1">
      <selection activeCell="A17" sqref="A17:B17"/>
    </sheetView>
  </sheetViews>
  <sheetFormatPr defaultColWidth="9.140625" defaultRowHeight="12.75"/>
  <cols>
    <col min="1" max="1" width="28.421875" style="49" customWidth="1"/>
    <col min="2" max="2" width="5.57421875" style="49" customWidth="1"/>
    <col min="3" max="4" width="5.7109375" style="49" customWidth="1"/>
    <col min="5" max="5" width="5.140625" style="49" customWidth="1"/>
    <col min="6" max="6" width="6.57421875" style="49" customWidth="1"/>
    <col min="7" max="7" width="7.8515625" style="49" customWidth="1"/>
    <col min="8" max="9" width="6.57421875" style="49" customWidth="1"/>
    <col min="1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202" t="s">
        <v>151</v>
      </c>
      <c r="H1" s="202"/>
      <c r="I1" s="202"/>
    </row>
    <row r="2" spans="1:9" ht="14.25">
      <c r="A2" s="210" t="s">
        <v>113</v>
      </c>
      <c r="B2" s="210"/>
      <c r="C2" s="210"/>
      <c r="D2" s="210"/>
      <c r="E2" s="210"/>
      <c r="F2" s="210"/>
      <c r="G2" s="210"/>
      <c r="H2" s="210"/>
      <c r="I2" s="210"/>
    </row>
    <row r="3" spans="1:9" ht="14.25">
      <c r="A3" s="105"/>
      <c r="B3" s="105"/>
      <c r="C3" s="105"/>
      <c r="D3" s="105"/>
      <c r="E3" s="105"/>
      <c r="F3" s="105"/>
      <c r="G3" s="105"/>
      <c r="H3" s="105"/>
      <c r="I3" s="105"/>
    </row>
    <row r="4" spans="1:9" ht="64.5" customHeight="1">
      <c r="A4" s="106" t="s">
        <v>1</v>
      </c>
      <c r="B4" s="107" t="s">
        <v>2</v>
      </c>
      <c r="C4" s="201" t="s">
        <v>216</v>
      </c>
      <c r="D4" s="201" t="s">
        <v>217</v>
      </c>
      <c r="E4" s="201" t="s">
        <v>238</v>
      </c>
      <c r="F4" s="179" t="s">
        <v>3</v>
      </c>
      <c r="G4" s="180"/>
      <c r="H4" s="180"/>
      <c r="I4" s="164"/>
    </row>
    <row r="5" spans="1:9" ht="14.25">
      <c r="A5" s="106"/>
      <c r="B5" s="107"/>
      <c r="C5" s="201"/>
      <c r="D5" s="201"/>
      <c r="E5" s="201"/>
      <c r="F5" s="110" t="s">
        <v>4</v>
      </c>
      <c r="G5" s="110" t="s">
        <v>5</v>
      </c>
      <c r="H5" s="110" t="s">
        <v>6</v>
      </c>
      <c r="I5" s="110" t="s">
        <v>7</v>
      </c>
    </row>
    <row r="6" spans="1:9" s="120" customFormat="1" ht="12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</row>
    <row r="7" spans="1:10" ht="21">
      <c r="A7" s="104" t="s">
        <v>114</v>
      </c>
      <c r="B7" s="131">
        <v>4000</v>
      </c>
      <c r="C7" s="132">
        <f>C8+C9+C10</f>
        <v>3764</v>
      </c>
      <c r="D7" s="90">
        <f>D9+D13+D12</f>
        <v>2046</v>
      </c>
      <c r="E7" s="90">
        <f>E9</f>
        <v>2000</v>
      </c>
      <c r="F7" s="90" t="str">
        <f>F9</f>
        <v>-</v>
      </c>
      <c r="G7" s="70">
        <v>2000</v>
      </c>
      <c r="H7" s="90" t="str">
        <f>H12</f>
        <v>-</v>
      </c>
      <c r="I7" s="90" t="str">
        <f>I9</f>
        <v>-</v>
      </c>
      <c r="J7" s="116"/>
    </row>
    <row r="8" spans="1:10" ht="14.25">
      <c r="A8" s="65" t="s">
        <v>115</v>
      </c>
      <c r="B8" s="133" t="s">
        <v>116</v>
      </c>
      <c r="C8" s="134">
        <v>89</v>
      </c>
      <c r="D8" s="70"/>
      <c r="E8" s="70"/>
      <c r="F8" s="70" t="s">
        <v>172</v>
      </c>
      <c r="G8" s="70" t="s">
        <v>172</v>
      </c>
      <c r="H8" s="70" t="s">
        <v>172</v>
      </c>
      <c r="I8" s="70" t="s">
        <v>172</v>
      </c>
      <c r="J8" s="116"/>
    </row>
    <row r="9" spans="1:12" ht="21">
      <c r="A9" s="65" t="s">
        <v>229</v>
      </c>
      <c r="B9" s="131">
        <v>4020</v>
      </c>
      <c r="C9" s="134">
        <v>3470</v>
      </c>
      <c r="D9" s="70">
        <f>526+1400</f>
        <v>1926</v>
      </c>
      <c r="E9" s="70">
        <v>2000</v>
      </c>
      <c r="F9" s="70" t="s">
        <v>172</v>
      </c>
      <c r="G9" s="70">
        <v>2000</v>
      </c>
      <c r="H9" s="70" t="s">
        <v>172</v>
      </c>
      <c r="I9" s="70" t="s">
        <v>172</v>
      </c>
      <c r="J9" s="116"/>
      <c r="L9" s="118">
        <f>E9-G9</f>
        <v>0</v>
      </c>
    </row>
    <row r="10" spans="1:10" ht="21">
      <c r="A10" s="65" t="s">
        <v>117</v>
      </c>
      <c r="B10" s="133">
        <v>4030</v>
      </c>
      <c r="C10" s="134">
        <v>205</v>
      </c>
      <c r="D10" s="70" t="s">
        <v>172</v>
      </c>
      <c r="E10" s="70" t="s">
        <v>172</v>
      </c>
      <c r="F10" s="70" t="s">
        <v>172</v>
      </c>
      <c r="G10" s="70" t="s">
        <v>172</v>
      </c>
      <c r="H10" s="70" t="s">
        <v>172</v>
      </c>
      <c r="I10" s="70" t="s">
        <v>172</v>
      </c>
      <c r="J10" s="116"/>
    </row>
    <row r="11" spans="1:10" ht="14.25">
      <c r="A11" s="65" t="s">
        <v>118</v>
      </c>
      <c r="B11" s="131">
        <v>4040</v>
      </c>
      <c r="C11" s="70" t="s">
        <v>172</v>
      </c>
      <c r="D11" s="70"/>
      <c r="E11" s="70"/>
      <c r="F11" s="70" t="s">
        <v>172</v>
      </c>
      <c r="G11" s="70" t="s">
        <v>172</v>
      </c>
      <c r="H11" s="70" t="s">
        <v>172</v>
      </c>
      <c r="I11" s="70" t="s">
        <v>172</v>
      </c>
      <c r="J11" s="116"/>
    </row>
    <row r="12" spans="1:10" ht="42">
      <c r="A12" s="65" t="s">
        <v>215</v>
      </c>
      <c r="B12" s="133">
        <v>4050</v>
      </c>
      <c r="C12" s="70" t="s">
        <v>172</v>
      </c>
      <c r="D12" s="70">
        <v>60</v>
      </c>
      <c r="E12" s="70"/>
      <c r="F12" s="70" t="s">
        <v>172</v>
      </c>
      <c r="G12" s="70" t="s">
        <v>172</v>
      </c>
      <c r="H12" s="70" t="s">
        <v>172</v>
      </c>
      <c r="I12" s="70" t="s">
        <v>172</v>
      </c>
      <c r="J12" s="116"/>
    </row>
    <row r="13" spans="1:9" ht="14.25">
      <c r="A13" s="65" t="s">
        <v>119</v>
      </c>
      <c r="B13" s="135">
        <v>4060</v>
      </c>
      <c r="C13" s="134">
        <v>0</v>
      </c>
      <c r="D13" s="70">
        <v>60</v>
      </c>
      <c r="E13" s="70" t="s">
        <v>172</v>
      </c>
      <c r="F13" s="70" t="s">
        <v>172</v>
      </c>
      <c r="G13" s="70" t="s">
        <v>172</v>
      </c>
      <c r="H13" s="70" t="s">
        <v>172</v>
      </c>
      <c r="I13" s="70" t="s">
        <v>172</v>
      </c>
    </row>
    <row r="14" spans="1:9" ht="14.25">
      <c r="A14" s="33"/>
      <c r="B14" s="33"/>
      <c r="C14" s="38"/>
      <c r="D14" s="33"/>
      <c r="E14" s="33"/>
      <c r="F14" s="33"/>
      <c r="G14" s="33"/>
      <c r="H14" s="33"/>
      <c r="I14" s="33"/>
    </row>
    <row r="15" spans="1:9" ht="14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4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4.25" customHeight="1">
      <c r="A17" s="191" t="s">
        <v>242</v>
      </c>
      <c r="B17" s="191"/>
      <c r="C17" s="209" t="s">
        <v>112</v>
      </c>
      <c r="D17" s="209"/>
      <c r="E17" s="136"/>
      <c r="F17" s="165" t="s">
        <v>197</v>
      </c>
      <c r="G17" s="165"/>
      <c r="H17" s="165"/>
      <c r="I17" s="165"/>
    </row>
    <row r="18" spans="1:9" ht="14.25">
      <c r="A18" s="108"/>
      <c r="B18" s="105"/>
      <c r="C18" s="177"/>
      <c r="D18" s="177"/>
      <c r="E18" s="137"/>
      <c r="F18" s="50"/>
      <c r="G18" s="178"/>
      <c r="H18" s="178"/>
      <c r="I18" s="178"/>
    </row>
    <row r="19" spans="1:9" ht="14.25">
      <c r="A19" s="33" t="s">
        <v>189</v>
      </c>
      <c r="B19" s="33"/>
      <c r="C19" s="209" t="s">
        <v>112</v>
      </c>
      <c r="D19" s="166"/>
      <c r="E19" s="136"/>
      <c r="F19" s="195" t="s">
        <v>198</v>
      </c>
      <c r="G19" s="196"/>
      <c r="H19" s="196"/>
      <c r="I19" s="196"/>
    </row>
    <row r="20" spans="1:9" ht="14.25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5">
      <c r="A21" s="48"/>
      <c r="B21" s="48"/>
      <c r="C21" s="48"/>
      <c r="D21" s="48"/>
      <c r="E21" s="48"/>
      <c r="F21" s="48"/>
      <c r="G21" s="48"/>
      <c r="H21" s="48"/>
      <c r="I21" s="48"/>
    </row>
  </sheetData>
  <sheetProtection/>
  <mergeCells count="13">
    <mergeCell ref="F19:I19"/>
    <mergeCell ref="C4:C5"/>
    <mergeCell ref="D4:D5"/>
    <mergeCell ref="E4:E5"/>
    <mergeCell ref="C19:D19"/>
    <mergeCell ref="G1:I1"/>
    <mergeCell ref="C17:D17"/>
    <mergeCell ref="C18:D18"/>
    <mergeCell ref="G18:I18"/>
    <mergeCell ref="F4:I4"/>
    <mergeCell ref="A2:I2"/>
    <mergeCell ref="A17:B17"/>
    <mergeCell ref="F17:I1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6">
      <selection activeCell="J33" sqref="J33"/>
    </sheetView>
  </sheetViews>
  <sheetFormatPr defaultColWidth="9.140625" defaultRowHeight="12.75"/>
  <cols>
    <col min="1" max="1" width="36.57421875" style="35" customWidth="1"/>
    <col min="2" max="2" width="11.421875" style="35" customWidth="1"/>
    <col min="3" max="3" width="15.7109375" style="35" customWidth="1"/>
    <col min="4" max="4" width="13.140625" style="35" customWidth="1"/>
    <col min="5" max="5" width="14.00390625" style="54" customWidth="1"/>
    <col min="6" max="6" width="11.57421875" style="54" bestFit="1" customWidth="1"/>
    <col min="7" max="8" width="11.7109375" style="54" bestFit="1" customWidth="1"/>
    <col min="9" max="9" width="11.7109375" style="54" customWidth="1"/>
    <col min="10" max="10" width="11.7109375" style="35" bestFit="1" customWidth="1"/>
    <col min="11" max="11" width="10.57421875" style="35" bestFit="1" customWidth="1"/>
    <col min="12" max="12" width="9.57421875" style="35" bestFit="1" customWidth="1"/>
    <col min="13" max="16384" width="9.140625" style="35" customWidth="1"/>
  </cols>
  <sheetData>
    <row r="1" spans="1:4" ht="12.75">
      <c r="A1" s="137"/>
      <c r="B1" s="137"/>
      <c r="C1" s="137" t="s">
        <v>152</v>
      </c>
      <c r="D1" s="32"/>
    </row>
    <row r="2" spans="1:4" ht="12.75">
      <c r="A2" s="210" t="s">
        <v>207</v>
      </c>
      <c r="B2" s="210"/>
      <c r="C2" s="210"/>
      <c r="D2" s="32"/>
    </row>
    <row r="3" spans="1:4" ht="12.75">
      <c r="A3" s="138"/>
      <c r="B3" s="138"/>
      <c r="C3" s="138"/>
      <c r="D3" s="54"/>
    </row>
    <row r="4" spans="1:4" ht="68.25" customHeight="1">
      <c r="A4" s="139" t="s">
        <v>1</v>
      </c>
      <c r="B4" s="140" t="s">
        <v>216</v>
      </c>
      <c r="C4" s="140" t="s">
        <v>217</v>
      </c>
      <c r="D4" s="140" t="s">
        <v>230</v>
      </c>
    </row>
    <row r="5" spans="1:4" ht="12.75">
      <c r="A5" s="139">
        <v>1</v>
      </c>
      <c r="B5" s="140">
        <v>2</v>
      </c>
      <c r="C5" s="140">
        <v>3</v>
      </c>
      <c r="D5" s="140">
        <v>4</v>
      </c>
    </row>
    <row r="6" spans="1:5" ht="75" customHeight="1">
      <c r="A6" s="141" t="s">
        <v>208</v>
      </c>
      <c r="B6" s="142">
        <f>B7+B8+B9</f>
        <v>175</v>
      </c>
      <c r="C6" s="142">
        <v>183</v>
      </c>
      <c r="D6" s="142">
        <v>183</v>
      </c>
      <c r="E6" s="161"/>
    </row>
    <row r="7" spans="1:5" ht="15" customHeight="1">
      <c r="A7" s="143" t="s">
        <v>120</v>
      </c>
      <c r="B7" s="144">
        <v>1</v>
      </c>
      <c r="C7" s="144">
        <v>1</v>
      </c>
      <c r="D7" s="144">
        <v>1</v>
      </c>
      <c r="E7" s="161"/>
    </row>
    <row r="8" spans="1:5" ht="30" customHeight="1">
      <c r="A8" s="143" t="s">
        <v>121</v>
      </c>
      <c r="B8" s="144">
        <v>14</v>
      </c>
      <c r="C8" s="144">
        <v>14</v>
      </c>
      <c r="D8" s="144">
        <v>14</v>
      </c>
      <c r="E8" s="161"/>
    </row>
    <row r="9" spans="1:5" ht="15" customHeight="1">
      <c r="A9" s="143" t="s">
        <v>122</v>
      </c>
      <c r="B9" s="144">
        <v>160</v>
      </c>
      <c r="C9" s="144">
        <f>C6-C7-C8</f>
        <v>168</v>
      </c>
      <c r="D9" s="144">
        <f>D6-D7-D8</f>
        <v>168</v>
      </c>
      <c r="E9" s="161"/>
    </row>
    <row r="10" spans="1:8" ht="29.25" customHeight="1">
      <c r="A10" s="141" t="s">
        <v>123</v>
      </c>
      <c r="B10" s="142">
        <v>24433</v>
      </c>
      <c r="C10" s="142">
        <f>C11+C12+C13</f>
        <v>26102</v>
      </c>
      <c r="D10" s="142">
        <f>D11+D12+D13</f>
        <v>29386</v>
      </c>
      <c r="E10" s="161"/>
      <c r="G10" s="55"/>
      <c r="H10" s="55"/>
    </row>
    <row r="11" spans="1:10" ht="15" customHeight="1">
      <c r="A11" s="143" t="s">
        <v>120</v>
      </c>
      <c r="B11" s="144">
        <v>808</v>
      </c>
      <c r="C11" s="144">
        <v>423</v>
      </c>
      <c r="D11" s="144">
        <v>504</v>
      </c>
      <c r="E11" s="161"/>
      <c r="F11" s="55"/>
      <c r="I11" s="55"/>
      <c r="J11" s="145"/>
    </row>
    <row r="12" spans="1:9" ht="30" customHeight="1">
      <c r="A12" s="143" t="s">
        <v>121</v>
      </c>
      <c r="B12" s="144">
        <v>3091</v>
      </c>
      <c r="C12" s="144">
        <f>3896-C11</f>
        <v>3473</v>
      </c>
      <c r="D12" s="144">
        <v>3817</v>
      </c>
      <c r="E12" s="161"/>
      <c r="F12" s="55"/>
      <c r="I12" s="55"/>
    </row>
    <row r="13" spans="1:6" ht="15" customHeight="1">
      <c r="A13" s="143" t="s">
        <v>122</v>
      </c>
      <c r="B13" s="144">
        <v>20534</v>
      </c>
      <c r="C13" s="144">
        <f>26102-3473-423</f>
        <v>22206</v>
      </c>
      <c r="D13" s="144">
        <v>25065</v>
      </c>
      <c r="E13" s="161"/>
      <c r="F13" s="55"/>
    </row>
    <row r="14" spans="1:7" ht="45" customHeight="1">
      <c r="A14" s="141" t="s">
        <v>150</v>
      </c>
      <c r="B14" s="142">
        <v>11635</v>
      </c>
      <c r="C14" s="142">
        <f aca="true" t="shared" si="0" ref="C14:D17">C10/C6/12*1000</f>
        <v>11886.156648451732</v>
      </c>
      <c r="D14" s="142">
        <f t="shared" si="0"/>
        <v>13381.6029143898</v>
      </c>
      <c r="E14" s="161"/>
      <c r="G14" s="55"/>
    </row>
    <row r="15" spans="1:12" ht="15" customHeight="1">
      <c r="A15" s="143" t="s">
        <v>120</v>
      </c>
      <c r="B15" s="146">
        <v>67333</v>
      </c>
      <c r="C15" s="144">
        <f t="shared" si="0"/>
        <v>35250</v>
      </c>
      <c r="D15" s="144">
        <f t="shared" si="0"/>
        <v>42000</v>
      </c>
      <c r="E15" s="161"/>
      <c r="G15" s="56"/>
      <c r="J15" s="147"/>
      <c r="K15" s="147"/>
      <c r="L15" s="147"/>
    </row>
    <row r="16" spans="1:8" ht="30" customHeight="1">
      <c r="A16" s="143" t="s">
        <v>121</v>
      </c>
      <c r="B16" s="146">
        <v>18399</v>
      </c>
      <c r="C16" s="144">
        <f t="shared" si="0"/>
        <v>20672.619047619046</v>
      </c>
      <c r="D16" s="144">
        <f t="shared" si="0"/>
        <v>22720.2380952381</v>
      </c>
      <c r="E16" s="161"/>
      <c r="G16" s="162"/>
      <c r="H16" s="56"/>
    </row>
    <row r="17" spans="1:8" ht="15" customHeight="1">
      <c r="A17" s="143" t="s">
        <v>122</v>
      </c>
      <c r="B17" s="146">
        <v>10695</v>
      </c>
      <c r="C17" s="144">
        <f t="shared" si="0"/>
        <v>11014.88095238095</v>
      </c>
      <c r="D17" s="144">
        <f t="shared" si="0"/>
        <v>12433.035714285716</v>
      </c>
      <c r="E17" s="161"/>
      <c r="F17" s="32"/>
      <c r="G17" s="32"/>
      <c r="H17" s="32"/>
    </row>
    <row r="18" spans="1:8" ht="30" customHeight="1">
      <c r="A18" s="141" t="s">
        <v>124</v>
      </c>
      <c r="B18" s="148">
        <v>29790</v>
      </c>
      <c r="C18" s="142">
        <f>C19+C20+C21</f>
        <v>31844.44</v>
      </c>
      <c r="D18" s="142">
        <f>D19+D20+D21</f>
        <v>35850.92</v>
      </c>
      <c r="E18" s="161"/>
      <c r="F18" s="57"/>
      <c r="G18" s="57"/>
      <c r="H18" s="57"/>
    </row>
    <row r="19" spans="1:10" ht="15" customHeight="1">
      <c r="A19" s="143" t="s">
        <v>120</v>
      </c>
      <c r="B19" s="149">
        <v>986</v>
      </c>
      <c r="C19" s="144">
        <f aca="true" t="shared" si="1" ref="C19:D21">C11*1.22</f>
        <v>516.06</v>
      </c>
      <c r="D19" s="144">
        <f t="shared" si="1"/>
        <v>614.88</v>
      </c>
      <c r="E19" s="161"/>
      <c r="F19" s="32"/>
      <c r="G19" s="57"/>
      <c r="H19" s="32"/>
      <c r="J19" s="147"/>
    </row>
    <row r="20" spans="1:8" ht="30" customHeight="1">
      <c r="A20" s="143" t="s">
        <v>121</v>
      </c>
      <c r="B20" s="149">
        <v>3771</v>
      </c>
      <c r="C20" s="144">
        <f t="shared" si="1"/>
        <v>4237.0599999999995</v>
      </c>
      <c r="D20" s="144">
        <f t="shared" si="1"/>
        <v>4656.74</v>
      </c>
      <c r="E20" s="161"/>
      <c r="F20" s="57"/>
      <c r="G20" s="57"/>
      <c r="H20" s="32"/>
    </row>
    <row r="21" spans="1:6" ht="15" customHeight="1">
      <c r="A21" s="143" t="s">
        <v>122</v>
      </c>
      <c r="B21" s="150">
        <v>25033</v>
      </c>
      <c r="C21" s="144">
        <f t="shared" si="1"/>
        <v>27091.32</v>
      </c>
      <c r="D21" s="144">
        <f t="shared" si="1"/>
        <v>30579.3</v>
      </c>
      <c r="E21" s="161"/>
      <c r="F21" s="56"/>
    </row>
    <row r="22" spans="1:8" ht="45" customHeight="1">
      <c r="A22" s="141" t="s">
        <v>125</v>
      </c>
      <c r="B22" s="148">
        <v>14186</v>
      </c>
      <c r="C22" s="148">
        <f>C18/12/183*1000</f>
        <v>14501.111111111111</v>
      </c>
      <c r="D22" s="148">
        <f>D18/12/183*1000</f>
        <v>16325.555555555553</v>
      </c>
      <c r="E22" s="161"/>
      <c r="F22" s="55"/>
      <c r="H22" s="54">
        <v>25921</v>
      </c>
    </row>
    <row r="23" spans="1:8" ht="15" customHeight="1">
      <c r="A23" s="143" t="s">
        <v>120</v>
      </c>
      <c r="B23" s="144">
        <v>82147</v>
      </c>
      <c r="C23" s="149">
        <f>C19/12*1000</f>
        <v>43004.99999999999</v>
      </c>
      <c r="D23" s="149">
        <f>D19/12*1000</f>
        <v>51240</v>
      </c>
      <c r="E23" s="161"/>
      <c r="F23" s="55"/>
      <c r="G23" s="55"/>
      <c r="H23" s="55">
        <f>C18-H22</f>
        <v>5923.439999999999</v>
      </c>
    </row>
    <row r="24" spans="1:6" ht="30" customHeight="1">
      <c r="A24" s="143" t="s">
        <v>121</v>
      </c>
      <c r="B24" s="144">
        <v>22447</v>
      </c>
      <c r="C24" s="149">
        <f>C20/12/C8*1000</f>
        <v>25220.595238095237</v>
      </c>
      <c r="D24" s="149">
        <f>D20/12/D8*1000</f>
        <v>27718.690476190477</v>
      </c>
      <c r="E24" s="161"/>
      <c r="F24" s="55"/>
    </row>
    <row r="25" spans="1:5" ht="15" customHeight="1">
      <c r="A25" s="143" t="s">
        <v>122</v>
      </c>
      <c r="B25" s="144">
        <v>13038</v>
      </c>
      <c r="C25" s="149">
        <f>C21/C9/12*1000</f>
        <v>13438.154761904761</v>
      </c>
      <c r="D25" s="149">
        <f>D21/D9/12*1000</f>
        <v>15168.303571428572</v>
      </c>
      <c r="E25" s="161"/>
    </row>
    <row r="26" spans="1:5" ht="12.75">
      <c r="A26" s="32"/>
      <c r="B26" s="151"/>
      <c r="C26" s="32"/>
      <c r="D26" s="32"/>
      <c r="E26" s="161"/>
    </row>
    <row r="27" spans="1:5" ht="15" customHeight="1">
      <c r="A27" s="163" t="s">
        <v>242</v>
      </c>
      <c r="B27" s="112" t="s">
        <v>112</v>
      </c>
      <c r="C27" s="177" t="s">
        <v>197</v>
      </c>
      <c r="D27" s="196"/>
      <c r="E27" s="196"/>
    </row>
    <row r="28" spans="1:4" ht="12.75">
      <c r="A28" s="108"/>
      <c r="B28" s="137"/>
      <c r="C28" s="51"/>
      <c r="D28" s="51"/>
    </row>
    <row r="29" spans="1:4" ht="12.75">
      <c r="A29" s="33"/>
      <c r="B29" s="33"/>
      <c r="C29" s="33"/>
      <c r="D29" s="32"/>
    </row>
    <row r="30" spans="1:5" ht="12.75">
      <c r="A30" s="33" t="s">
        <v>189</v>
      </c>
      <c r="B30" s="152"/>
      <c r="C30" s="167" t="s">
        <v>198</v>
      </c>
      <c r="D30" s="196"/>
      <c r="E30" s="196"/>
    </row>
    <row r="31" spans="1:3" ht="15.75">
      <c r="A31" s="34"/>
      <c r="B31" s="153"/>
      <c r="C31" s="34"/>
    </row>
    <row r="32" spans="1:3" ht="15.75">
      <c r="A32" s="34"/>
      <c r="B32" s="34"/>
      <c r="C32" s="34"/>
    </row>
    <row r="33" spans="1:3" ht="15.75">
      <c r="A33" s="34"/>
      <c r="B33" s="34"/>
      <c r="C33" s="34"/>
    </row>
    <row r="34" spans="1:3" ht="15.75">
      <c r="A34" s="34"/>
      <c r="B34" s="34"/>
      <c r="C34" s="34"/>
    </row>
    <row r="35" spans="1:3" ht="15.75">
      <c r="A35" s="34"/>
      <c r="B35" s="34"/>
      <c r="C35" s="34"/>
    </row>
    <row r="36" spans="1:3" ht="15.75">
      <c r="A36" s="34"/>
      <c r="B36" s="34"/>
      <c r="C36" s="34"/>
    </row>
    <row r="37" spans="1:3" ht="15.75">
      <c r="A37" s="34"/>
      <c r="B37" s="34"/>
      <c r="C37" s="34"/>
    </row>
    <row r="38" spans="1:3" ht="15.75">
      <c r="A38" s="34"/>
      <c r="B38" s="34"/>
      <c r="C38" s="34"/>
    </row>
    <row r="39" spans="1:3" ht="15.75">
      <c r="A39" s="34"/>
      <c r="B39" s="34"/>
      <c r="C39" s="34"/>
    </row>
    <row r="40" spans="1:3" ht="15.75">
      <c r="A40" s="34"/>
      <c r="B40" s="34"/>
      <c r="C40" s="34"/>
    </row>
  </sheetData>
  <sheetProtection/>
  <mergeCells count="3">
    <mergeCell ref="A2:C2"/>
    <mergeCell ref="C27:E27"/>
    <mergeCell ref="C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22.8515625" style="0" customWidth="1"/>
    <col min="2" max="2" width="6.421875" style="0" customWidth="1"/>
    <col min="5" max="5" width="6.28125" style="0" customWidth="1"/>
    <col min="6" max="6" width="5.8515625" style="0" customWidth="1"/>
    <col min="7" max="7" width="6.421875" style="0" customWidth="1"/>
    <col min="8" max="8" width="8.00390625" style="0" customWidth="1"/>
    <col min="9" max="9" width="6.57421875" style="0" customWidth="1"/>
  </cols>
  <sheetData>
    <row r="2" spans="1:9" ht="15">
      <c r="A2" s="58"/>
      <c r="B2" s="59"/>
      <c r="C2" s="59"/>
      <c r="D2" s="59"/>
      <c r="E2" s="59"/>
      <c r="F2" s="59"/>
      <c r="G2" s="59"/>
      <c r="H2" s="168" t="s">
        <v>209</v>
      </c>
      <c r="I2" s="168"/>
    </row>
    <row r="3" spans="1:9" ht="34.5" customHeight="1">
      <c r="A3" s="211" t="s">
        <v>225</v>
      </c>
      <c r="B3" s="211"/>
      <c r="C3" s="211"/>
      <c r="D3" s="211"/>
      <c r="E3" s="211"/>
      <c r="F3" s="211"/>
      <c r="G3" s="211"/>
      <c r="H3" s="211"/>
      <c r="I3" s="211"/>
    </row>
    <row r="4" spans="1:9" ht="15.75">
      <c r="A4" s="60"/>
      <c r="B4" s="61"/>
      <c r="C4" s="60"/>
      <c r="D4" s="60"/>
      <c r="E4" s="61"/>
      <c r="F4" s="60"/>
      <c r="G4" s="60"/>
      <c r="H4" s="60"/>
      <c r="I4" s="60"/>
    </row>
    <row r="5" spans="1:9" ht="15" customHeight="1">
      <c r="A5" s="212" t="s">
        <v>1</v>
      </c>
      <c r="B5" s="213" t="s">
        <v>2</v>
      </c>
      <c r="C5" s="213" t="s">
        <v>216</v>
      </c>
      <c r="D5" s="213" t="s">
        <v>217</v>
      </c>
      <c r="E5" s="213" t="s">
        <v>239</v>
      </c>
      <c r="F5" s="213" t="s">
        <v>3</v>
      </c>
      <c r="G5" s="213"/>
      <c r="H5" s="213"/>
      <c r="I5" s="213"/>
    </row>
    <row r="6" spans="1:9" ht="39" customHeight="1">
      <c r="A6" s="212"/>
      <c r="B6" s="213"/>
      <c r="C6" s="213"/>
      <c r="D6" s="213"/>
      <c r="E6" s="213"/>
      <c r="F6" s="99" t="s">
        <v>4</v>
      </c>
      <c r="G6" s="99" t="s">
        <v>5</v>
      </c>
      <c r="H6" s="99" t="s">
        <v>6</v>
      </c>
      <c r="I6" s="99" t="s">
        <v>7</v>
      </c>
    </row>
    <row r="7" spans="1:9" ht="12.75">
      <c r="A7" s="97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</row>
    <row r="8" spans="1:9" ht="12.75">
      <c r="A8" s="214" t="s">
        <v>210</v>
      </c>
      <c r="B8" s="215"/>
      <c r="C8" s="215"/>
      <c r="D8" s="215"/>
      <c r="E8" s="215"/>
      <c r="F8" s="215"/>
      <c r="G8" s="215"/>
      <c r="H8" s="215"/>
      <c r="I8" s="216"/>
    </row>
    <row r="9" spans="1:9" ht="33.75" customHeight="1">
      <c r="A9" s="100" t="s">
        <v>211</v>
      </c>
      <c r="B9" s="101">
        <v>6000</v>
      </c>
      <c r="C9" s="69" t="s">
        <v>172</v>
      </c>
      <c r="D9" s="69" t="s">
        <v>172</v>
      </c>
      <c r="E9" s="69" t="s">
        <v>172</v>
      </c>
      <c r="F9" s="69" t="s">
        <v>172</v>
      </c>
      <c r="G9" s="69" t="s">
        <v>172</v>
      </c>
      <c r="H9" s="69" t="s">
        <v>172</v>
      </c>
      <c r="I9" s="69" t="s">
        <v>172</v>
      </c>
    </row>
    <row r="10" spans="1:9" ht="12.75">
      <c r="A10" s="217" t="s">
        <v>212</v>
      </c>
      <c r="B10" s="218"/>
      <c r="C10" s="218"/>
      <c r="D10" s="218"/>
      <c r="E10" s="218"/>
      <c r="F10" s="218"/>
      <c r="G10" s="218"/>
      <c r="H10" s="218"/>
      <c r="I10" s="219"/>
    </row>
    <row r="11" spans="1:9" ht="43.5" customHeight="1">
      <c r="A11" s="100" t="s">
        <v>223</v>
      </c>
      <c r="B11" s="101">
        <v>6010</v>
      </c>
      <c r="C11" s="69" t="s">
        <v>172</v>
      </c>
      <c r="D11" s="69" t="s">
        <v>172</v>
      </c>
      <c r="E11" s="69" t="s">
        <v>172</v>
      </c>
      <c r="F11" s="69" t="s">
        <v>172</v>
      </c>
      <c r="G11" s="69" t="s">
        <v>172</v>
      </c>
      <c r="H11" s="69" t="s">
        <v>172</v>
      </c>
      <c r="I11" s="69" t="s">
        <v>172</v>
      </c>
    </row>
    <row r="12" spans="1:9" ht="21">
      <c r="A12" s="100" t="s">
        <v>213</v>
      </c>
      <c r="B12" s="102">
        <v>6020</v>
      </c>
      <c r="C12" s="69" t="s">
        <v>172</v>
      </c>
      <c r="D12" s="69" t="s">
        <v>172</v>
      </c>
      <c r="E12" s="69" t="s">
        <v>172</v>
      </c>
      <c r="F12" s="69" t="s">
        <v>172</v>
      </c>
      <c r="G12" s="69" t="s">
        <v>172</v>
      </c>
      <c r="H12" s="69" t="s">
        <v>172</v>
      </c>
      <c r="I12" s="69" t="s">
        <v>172</v>
      </c>
    </row>
    <row r="13" spans="1:9" ht="12.75">
      <c r="A13" s="103" t="s">
        <v>214</v>
      </c>
      <c r="B13" s="103"/>
      <c r="C13" s="103"/>
      <c r="D13" s="103"/>
      <c r="E13" s="103"/>
      <c r="F13" s="103"/>
      <c r="G13" s="103"/>
      <c r="H13" s="103"/>
      <c r="I13" s="103"/>
    </row>
    <row r="14" spans="1:9" ht="15">
      <c r="A14" s="62"/>
      <c r="B14" s="62"/>
      <c r="C14" s="62"/>
      <c r="D14" s="62"/>
      <c r="E14" s="62"/>
      <c r="F14" s="62"/>
      <c r="G14" s="62"/>
      <c r="H14" s="63"/>
      <c r="I14" s="63"/>
    </row>
    <row r="15" spans="1:9" ht="15">
      <c r="A15" s="62"/>
      <c r="B15" s="62"/>
      <c r="C15" s="62"/>
      <c r="D15" s="62"/>
      <c r="E15" s="62"/>
      <c r="F15" s="62"/>
      <c r="G15" s="62"/>
      <c r="H15" s="63"/>
      <c r="I15" s="63"/>
    </row>
    <row r="16" spans="1:9" ht="15">
      <c r="A16" s="62"/>
      <c r="B16" s="62"/>
      <c r="C16" s="62"/>
      <c r="D16" s="62"/>
      <c r="E16" s="62"/>
      <c r="F16" s="62"/>
      <c r="G16" s="62"/>
      <c r="H16" s="63"/>
      <c r="I16" s="63"/>
    </row>
    <row r="17" spans="1:9" ht="12.75">
      <c r="A17" s="191" t="s">
        <v>242</v>
      </c>
      <c r="B17" s="192"/>
      <c r="C17" s="220"/>
      <c r="D17" s="220"/>
      <c r="E17" s="64"/>
      <c r="F17" s="193" t="s">
        <v>197</v>
      </c>
      <c r="G17" s="220"/>
      <c r="H17" s="220"/>
      <c r="I17" s="220"/>
    </row>
    <row r="18" spans="1:9" ht="29.25" customHeight="1">
      <c r="A18" s="33" t="s">
        <v>190</v>
      </c>
      <c r="B18" s="33"/>
      <c r="C18" s="188" t="s">
        <v>85</v>
      </c>
      <c r="D18" s="189"/>
      <c r="E18" s="64"/>
      <c r="F18" s="195" t="s">
        <v>198</v>
      </c>
      <c r="G18" s="208"/>
      <c r="H18" s="208"/>
      <c r="I18" s="208"/>
    </row>
    <row r="19" spans="1:9" ht="12.75">
      <c r="A19" s="33"/>
      <c r="B19" s="33"/>
      <c r="C19" s="33"/>
      <c r="D19" s="33"/>
      <c r="E19" s="33"/>
      <c r="F19" s="33"/>
      <c r="G19" s="33"/>
      <c r="H19" s="33"/>
      <c r="I19" s="33"/>
    </row>
  </sheetData>
  <sheetProtection/>
  <mergeCells count="14">
    <mergeCell ref="A8:I8"/>
    <mergeCell ref="A10:I10"/>
    <mergeCell ref="F17:I17"/>
    <mergeCell ref="F18:I18"/>
    <mergeCell ref="C18:D18"/>
    <mergeCell ref="A17:D17"/>
    <mergeCell ref="H2:I2"/>
    <mergeCell ref="A3:I3"/>
    <mergeCell ref="A5:A6"/>
    <mergeCell ref="B5:B6"/>
    <mergeCell ref="C5:C6"/>
    <mergeCell ref="D5:D6"/>
    <mergeCell ref="E5:E6"/>
    <mergeCell ref="F5:I5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2022-11-08T13:35:41Z</cp:lastPrinted>
  <dcterms:created xsi:type="dcterms:W3CDTF">1996-10-08T23:32:33Z</dcterms:created>
  <dcterms:modified xsi:type="dcterms:W3CDTF">2022-11-09T13:08:45Z</dcterms:modified>
  <cp:category/>
  <cp:version/>
  <cp:contentType/>
  <cp:contentStatus/>
</cp:coreProperties>
</file>